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70" activeTab="0"/>
  </bookViews>
  <sheets>
    <sheet name="2011  TVL" sheetId="1" r:id="rId1"/>
    <sheet name="2011 a KVL" sheetId="2" r:id="rId2"/>
    <sheet name="2011 tulud " sheetId="3" r:id="rId3"/>
    <sheet name=" summary " sheetId="4" r:id="rId4"/>
  </sheets>
  <externalReferences>
    <externalReference r:id="rId7"/>
    <externalReference r:id="rId8"/>
    <externalReference r:id="rId9"/>
    <externalReference r:id="rId10"/>
  </externalReferences>
  <definedNames>
    <definedName name="arhiiv" localSheetId="3">#REF!</definedName>
    <definedName name="arhiiv" localSheetId="0">#REF!</definedName>
    <definedName name="arhiiv" localSheetId="1">#REF!</definedName>
    <definedName name="arhiiv" localSheetId="2">'[1]arhiiv'!#REF!</definedName>
    <definedName name="arhiiv">#REF!</definedName>
    <definedName name="kutsekeskus" localSheetId="3">#REF!</definedName>
    <definedName name="kutsekeskus" localSheetId="0">#REF!</definedName>
    <definedName name="kutsekeskus" localSheetId="1">#REF!</definedName>
    <definedName name="kutsekeskus" localSheetId="2">'[1]kutsekeskus'!$D$311</definedName>
    <definedName name="kutsekeskus">#REF!</definedName>
    <definedName name="o">#REF!</definedName>
  </definedNames>
  <calcPr fullCalcOnLoad="1"/>
</workbook>
</file>

<file path=xl/comments3.xml><?xml version="1.0" encoding="utf-8"?>
<comments xmlns="http://schemas.openxmlformats.org/spreadsheetml/2006/main">
  <authors>
    <author>ml301fo20</author>
  </authors>
  <commentList>
    <comment ref="K94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raamatukogu teavikud</t>
        </r>
      </text>
    </comment>
    <comment ref="K96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Koolipiim + lasteajad
</t>
        </r>
      </text>
    </comment>
    <comment ref="K97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Õppelaen</t>
        </r>
      </text>
    </comment>
    <comment ref="K98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 erivajadus 3315+ matuse toetused 192
</t>
        </r>
      </text>
    </comment>
    <comment ref="K107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Rukk eesti keel ( integr. Siht asutus)
+1665 KIK +2568 ujumine</t>
        </r>
      </text>
    </comment>
    <comment ref="K108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MTÜ Eesti kooriühing
</t>
        </r>
      </text>
    </comment>
    <comment ref="K145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 Harjumaa kooli festivaal
</t>
        </r>
      </text>
    </comment>
  </commentList>
</comments>
</file>

<file path=xl/comments4.xml><?xml version="1.0" encoding="utf-8"?>
<comments xmlns="http://schemas.openxmlformats.org/spreadsheetml/2006/main">
  <authors>
    <author>ml301fo20</author>
    <author>ml201fo2</author>
    <author>Anatoli Kartov</author>
  </authors>
  <commentList>
    <comment ref="K217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19650 on 2010 aasta jääk,41246 eelarve 2011 riiklik+2000 jääk 2010 ???</t>
        </r>
      </text>
    </comment>
    <comment ref="K219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2010 aasta jääk
</t>
        </r>
      </text>
    </comment>
    <comment ref="K220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riiklik.sotsmin
</t>
        </r>
      </text>
    </comment>
    <comment ref="K224" authorId="1">
      <text>
        <r>
          <rPr>
            <b/>
            <sz val="9"/>
            <rFont val="Tahoma"/>
            <family val="2"/>
          </rPr>
          <t>ml201fo2:</t>
        </r>
        <r>
          <rPr>
            <sz val="9"/>
            <rFont val="Tahoma"/>
            <family val="2"/>
          </rPr>
          <t xml:space="preserve">
 2010 raha jääk
</t>
        </r>
      </text>
    </comment>
    <comment ref="K225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2010 jäägi summa</t>
        </r>
      </text>
    </comment>
    <comment ref="M226" authorId="2">
      <text>
        <r>
          <rPr>
            <b/>
            <sz val="9"/>
            <rFont val="Tahoma"/>
            <family val="2"/>
          </rPr>
          <t>Anatoli Kartov:</t>
        </r>
        <r>
          <rPr>
            <sz val="9"/>
            <rFont val="Tahoma"/>
            <family val="2"/>
          </rPr>
          <t xml:space="preserve">
alaealiste kom. 
Töö
</t>
        </r>
      </text>
    </comment>
    <comment ref="K232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2010 aasta jääk
</t>
        </r>
      </text>
    </comment>
    <comment ref="K234" authorId="0">
      <text>
        <r>
          <rPr>
            <b/>
            <sz val="9"/>
            <rFont val="Tahoma"/>
            <family val="2"/>
          </rPr>
          <t>ml301fo20:</t>
        </r>
        <r>
          <rPr>
            <sz val="9"/>
            <rFont val="Tahoma"/>
            <family val="2"/>
          </rPr>
          <t xml:space="preserve">
 48 877 euro  2010 aasta jääk</t>
        </r>
      </text>
    </comment>
  </commentList>
</comments>
</file>

<file path=xl/sharedStrings.xml><?xml version="1.0" encoding="utf-8"?>
<sst xmlns="http://schemas.openxmlformats.org/spreadsheetml/2006/main" count="2006" uniqueCount="955">
  <si>
    <t>2011. AASTA MAARDU LINNA TULUDE KOONDTABEL</t>
  </si>
  <si>
    <t>I TULUD</t>
  </si>
  <si>
    <t>(Euro)</t>
  </si>
  <si>
    <t xml:space="preserve">                                            2005. aasta   lisaeelarve tulud</t>
  </si>
  <si>
    <t xml:space="preserve">   Eelarve </t>
  </si>
  <si>
    <t>2007.a</t>
  </si>
  <si>
    <t>2008.a</t>
  </si>
  <si>
    <t>2009.a</t>
  </si>
  <si>
    <t>2010.a</t>
  </si>
  <si>
    <t>2011.    a   a   s   t  a      l   i   s   a  e   e   l   a   r   v   e   d</t>
  </si>
  <si>
    <t xml:space="preserve"> kassifi-</t>
  </si>
  <si>
    <t xml:space="preserve">              Nimetused</t>
  </si>
  <si>
    <t xml:space="preserve">eelarve </t>
  </si>
  <si>
    <t>Kinnitatud</t>
  </si>
  <si>
    <t xml:space="preserve">  I      l i s a e e l a r v e</t>
  </si>
  <si>
    <t xml:space="preserve">  II     l i s a e e l a r v e</t>
  </si>
  <si>
    <t>täpsustatud</t>
  </si>
  <si>
    <t xml:space="preserve">  III      l i s a e e l a r v e</t>
  </si>
  <si>
    <t>2011.</t>
  </si>
  <si>
    <t>kaator</t>
  </si>
  <si>
    <t>eelnõu</t>
  </si>
  <si>
    <t>I kinnitatud</t>
  </si>
  <si>
    <t xml:space="preserve">koos </t>
  </si>
  <si>
    <t>Suurendamine</t>
  </si>
  <si>
    <t>Sellest:</t>
  </si>
  <si>
    <t>2010..</t>
  </si>
  <si>
    <t>Tunnus</t>
  </si>
  <si>
    <t>tulud</t>
  </si>
  <si>
    <t>lisaeelavega</t>
  </si>
  <si>
    <t>vähendamine</t>
  </si>
  <si>
    <t>Riigieelarvest</t>
  </si>
  <si>
    <t>Kohalik</t>
  </si>
  <si>
    <t>Omatulu</t>
  </si>
  <si>
    <t>eelarve</t>
  </si>
  <si>
    <t>Vahe</t>
  </si>
  <si>
    <t>%</t>
  </si>
  <si>
    <t>1</t>
  </si>
  <si>
    <t>T U L U D</t>
  </si>
  <si>
    <t>30</t>
  </si>
  <si>
    <t>Maksud ja sotsiaalkindlustusmaksed</t>
  </si>
  <si>
    <t>300</t>
  </si>
  <si>
    <t>Tulumaks</t>
  </si>
  <si>
    <t>3000</t>
  </si>
  <si>
    <t>Füüsilise isiku tulumaks</t>
  </si>
  <si>
    <t>303</t>
  </si>
  <si>
    <t>Omandimaksud</t>
  </si>
  <si>
    <t>3030</t>
  </si>
  <si>
    <t>Maamaks</t>
  </si>
  <si>
    <t>3033</t>
  </si>
  <si>
    <t>Paadimaks</t>
  </si>
  <si>
    <t>3034</t>
  </si>
  <si>
    <t>Loomapidamisemaks</t>
  </si>
  <si>
    <t>304</t>
  </si>
  <si>
    <t>Maksud kaupadelt ja teenuste müügilt</t>
  </si>
  <si>
    <t>3041</t>
  </si>
  <si>
    <t>Müügimaks</t>
  </si>
  <si>
    <t>3043</t>
  </si>
  <si>
    <t>Hasartmängumaks</t>
  </si>
  <si>
    <t>3044</t>
  </si>
  <si>
    <t xml:space="preserve">Reklaamimaks </t>
  </si>
  <si>
    <t>3045</t>
  </si>
  <si>
    <t>Teede ja tänavate sulgemise maks</t>
  </si>
  <si>
    <t>3046</t>
  </si>
  <si>
    <t>Lõbustusmaks</t>
  </si>
  <si>
    <t>3047</t>
  </si>
  <si>
    <t>Parkimistasu</t>
  </si>
  <si>
    <t>32</t>
  </si>
  <si>
    <t>Kaupade ja teenuste müük</t>
  </si>
  <si>
    <t>320</t>
  </si>
  <si>
    <t>Riigilõivud</t>
  </si>
  <si>
    <t>320180</t>
  </si>
  <si>
    <t>Ehitusloa väljastamise eest</t>
  </si>
  <si>
    <t>320320</t>
  </si>
  <si>
    <t>Kasutusloa väljastamise eest</t>
  </si>
  <si>
    <t>320700</t>
  </si>
  <si>
    <t>Linnasekretäri tõestamistoimingute riigilõiv</t>
  </si>
  <si>
    <t>320999</t>
  </si>
  <si>
    <t>Muud riigilõivud</t>
  </si>
  <si>
    <t>322</t>
  </si>
  <si>
    <t>3220</t>
  </si>
  <si>
    <t>Laekumised haridusasutuste majandustegevusest</t>
  </si>
  <si>
    <t>32201</t>
  </si>
  <si>
    <t>Lasteaedade toidumaks</t>
  </si>
  <si>
    <t>LA Rukkilill</t>
  </si>
  <si>
    <t>LA Rõõm</t>
  </si>
  <si>
    <t>LA Sipsik</t>
  </si>
  <si>
    <t>32202</t>
  </si>
  <si>
    <t>Lasteaiamaks</t>
  </si>
  <si>
    <t>322022</t>
  </si>
  <si>
    <t>L/aRukkilille renditulu</t>
  </si>
  <si>
    <t>32203</t>
  </si>
  <si>
    <t>Munitsipaalkoolide majadustulud</t>
  </si>
  <si>
    <t>Maardu Põhikool</t>
  </si>
  <si>
    <t>Kallavere Keskkool</t>
  </si>
  <si>
    <t>Maardu Gümnaasium</t>
  </si>
  <si>
    <t>32204</t>
  </si>
  <si>
    <t>Haridusteenused</t>
  </si>
  <si>
    <t>3221</t>
  </si>
  <si>
    <t>Laekumised kultuuri- ja kunstiasutuste majandustegevusest</t>
  </si>
  <si>
    <t>Kunstide kool</t>
  </si>
  <si>
    <t>Rahvamaja majandustulu</t>
  </si>
  <si>
    <t>Staadioni rent</t>
  </si>
  <si>
    <t>Raamatukogu majandustulu</t>
  </si>
  <si>
    <t>Sügislaat (sponsor)</t>
  </si>
  <si>
    <t>3222</t>
  </si>
  <si>
    <t>Laekumised spordi- ja puhkuseasutuste majandustegevusest</t>
  </si>
  <si>
    <t>Spordihoone majandustulu</t>
  </si>
  <si>
    <t>Staadioni majandustulu</t>
  </si>
  <si>
    <t>3223</t>
  </si>
  <si>
    <t>Laekumised tervishoiuasutuste majandustegevusest</t>
  </si>
  <si>
    <t>3224</t>
  </si>
  <si>
    <t>Laekumised sotsiaalasutuste majandustegevusest</t>
  </si>
  <si>
    <t>Infokeskus (kulutused ja rekl.ajalehes)</t>
  </si>
  <si>
    <t>3225</t>
  </si>
  <si>
    <t>Laekumised elamu- ja kommunaalasutuste majandustegevusest s.h arhidektuur</t>
  </si>
  <si>
    <t>3227</t>
  </si>
  <si>
    <t>Laekumised korrakaitseasutuste majandustegevusest</t>
  </si>
  <si>
    <t>3228</t>
  </si>
  <si>
    <t>Laekumised riigikaitseasutuste majandustegevusest</t>
  </si>
  <si>
    <t>3229</t>
  </si>
  <si>
    <t>Laekumised üldvalitsemisasutuste majandustegevusest</t>
  </si>
  <si>
    <t>323</t>
  </si>
  <si>
    <t>Kaupade ja teenuste müük (järg)</t>
  </si>
  <si>
    <t>3230</t>
  </si>
  <si>
    <t>Laekumised transpordi- ja sideasutuste majandustegevusest</t>
  </si>
  <si>
    <t>3232</t>
  </si>
  <si>
    <t>Laekumised muude maj. küsim. tegelevate asutuste majandustegevusest (leinamaja)</t>
  </si>
  <si>
    <t>3233</t>
  </si>
  <si>
    <t>Üüri- ja renditulud toodetud mat.  ja immat. varadelt (rendimaks,sotsiaalmaja)</t>
  </si>
  <si>
    <t>Rendimaks maa kasutamise eest</t>
  </si>
  <si>
    <t>Sotsiaalmaja</t>
  </si>
  <si>
    <t>Muud objektid</t>
  </si>
  <si>
    <t>Linna Arengu-ja Majandusosakond</t>
  </si>
  <si>
    <t>3237</t>
  </si>
  <si>
    <t>Laekumised õiguste müügist(veoluba,kaeveluba,raieluba,müügipiletud)</t>
  </si>
  <si>
    <t>veoluba</t>
  </si>
  <si>
    <t>raieluba</t>
  </si>
  <si>
    <t>kaeveluba</t>
  </si>
  <si>
    <t>3238</t>
  </si>
  <si>
    <t>Muu kaupade ja teenuste müük (maa erastamise eest ,leinamaja)</t>
  </si>
  <si>
    <t>3239</t>
  </si>
  <si>
    <t>Edasiantav tulu ja kulude edasiandmisest</t>
  </si>
  <si>
    <t>35</t>
  </si>
  <si>
    <t>Toetused</t>
  </si>
  <si>
    <t>350</t>
  </si>
  <si>
    <t xml:space="preserve">Sihtotstarbelised toetused </t>
  </si>
  <si>
    <t>3500</t>
  </si>
  <si>
    <t>Sihtotstarbelised toetused jooksvateks kuludeks</t>
  </si>
  <si>
    <t>3500.9</t>
  </si>
  <si>
    <t>Mitteresidentidelt</t>
  </si>
  <si>
    <t>3500.92</t>
  </si>
  <si>
    <t>Euroopa Liidult</t>
  </si>
  <si>
    <t>3500.99</t>
  </si>
  <si>
    <t>Muudelt mitteresidentidelt</t>
  </si>
  <si>
    <t>3500.0</t>
  </si>
  <si>
    <t>Valitsussektorisisesed toetused</t>
  </si>
  <si>
    <t>3500.00</t>
  </si>
  <si>
    <t>Riigilt ja riigiasutustelt (matusetoetus)</t>
  </si>
  <si>
    <t>3500.00.02</t>
  </si>
  <si>
    <t>Haridus- ja Teadusministeerium (21. sajandi kool)</t>
  </si>
  <si>
    <t>3500.00.06</t>
  </si>
  <si>
    <t>Kultuuriministeerium (raamatukogu teavikud, leping 22.01.2009 nr66/34))</t>
  </si>
  <si>
    <t>3500.00.07</t>
  </si>
  <si>
    <t>Majandus ja kommunikatsiooni ministeerium</t>
  </si>
  <si>
    <t>3500.00.08</t>
  </si>
  <si>
    <t>Põllumajandusministeerium (koolipiim)</t>
  </si>
  <si>
    <t>lasteaiad 30.09 seisuga</t>
  </si>
  <si>
    <t>3500.-00.09</t>
  </si>
  <si>
    <t>Rahandusministeerium (õppelaenu kustutamine)</t>
  </si>
  <si>
    <t>3500.00.11</t>
  </si>
  <si>
    <t>Sotsiaalministeerium (matusetoetus,sotsiaalkindlistus</t>
  </si>
  <si>
    <t>isikute psühiline hindamine)</t>
  </si>
  <si>
    <t>3500.00.14</t>
  </si>
  <si>
    <t>Maavalitsused (laste  ujumise algõpetus,puuetega laste lapsehoiuteenused)</t>
  </si>
  <si>
    <t>erivajadustega inimeste hoolekanne,ujumise algõpetus)</t>
  </si>
  <si>
    <t>Ujumise õpetus</t>
  </si>
  <si>
    <t>2562 euro ujumine</t>
  </si>
  <si>
    <t>3500.00.15</t>
  </si>
  <si>
    <t>Riigikogu ( valimised)</t>
  </si>
  <si>
    <t>2563 euro ujumine</t>
  </si>
  <si>
    <t>3500.00.16</t>
  </si>
  <si>
    <t>Vabariigi Valitsuse reservist</t>
  </si>
  <si>
    <t>2564 euro ujumine</t>
  </si>
  <si>
    <t>3500.00.17</t>
  </si>
  <si>
    <t>Vabariigi Valitsus (s.h.koolitoit, VV 31.01.2005. määris nr19))</t>
  </si>
  <si>
    <t>2565 euro ujumine</t>
  </si>
  <si>
    <t>3500.01</t>
  </si>
  <si>
    <t>Kohaliku omavakitsusüksustelt ja omavalitsusüksustelt</t>
  </si>
  <si>
    <t>2566 euro ujumine</t>
  </si>
  <si>
    <t>3500.02</t>
  </si>
  <si>
    <t>Valitsussektorisse kuuluvatelt muudelt avalik-õiguslikelt juriidilistelt isikutelt</t>
  </si>
  <si>
    <t>2567 euro ujumine</t>
  </si>
  <si>
    <t>3500.03</t>
  </si>
  <si>
    <t>Valitsussektorisse kuuluvatelt sihtasutustelt</t>
  </si>
  <si>
    <t>3500.8</t>
  </si>
  <si>
    <t>Muudelt residentidelt</t>
  </si>
  <si>
    <t>3502</t>
  </si>
  <si>
    <t>Sihtotstarbelised toetused põhivara soetamiseks</t>
  </si>
  <si>
    <t>3502.9</t>
  </si>
  <si>
    <t>3502.92</t>
  </si>
  <si>
    <t>3502.99</t>
  </si>
  <si>
    <t>3502.0</t>
  </si>
  <si>
    <t>3502.00</t>
  </si>
  <si>
    <t>Riigilt ja riigiasutustelt</t>
  </si>
  <si>
    <t>3502.00.02</t>
  </si>
  <si>
    <t>Haridus- ja teadusministeerium (k. k juurdeehitus)</t>
  </si>
  <si>
    <t>3502.00.06</t>
  </si>
  <si>
    <t>Kultuuriministeerium (laste mänguväljakud)</t>
  </si>
  <si>
    <t>3502.00.07</t>
  </si>
  <si>
    <t>Majandus ja kommunikatsiooniministeerium (teede korrashoid)</t>
  </si>
  <si>
    <t>3502.01</t>
  </si>
  <si>
    <t>3502.02</t>
  </si>
  <si>
    <t>3502.03</t>
  </si>
  <si>
    <t>3502.8</t>
  </si>
  <si>
    <t>Muudelt residentidelt (kutuurikapital)</t>
  </si>
  <si>
    <t>352</t>
  </si>
  <si>
    <t xml:space="preserve">Mittesihtotstarbelised toetused </t>
  </si>
  <si>
    <t>352.9</t>
  </si>
  <si>
    <t>352.92</t>
  </si>
  <si>
    <t>352.99</t>
  </si>
  <si>
    <t xml:space="preserve"> </t>
  </si>
  <si>
    <t>352.02</t>
  </si>
  <si>
    <t>Valitsussektorisisesed toetused HOL</t>
  </si>
  <si>
    <t>352.00</t>
  </si>
  <si>
    <t>Toetused riigilt ja riigiasutustelt</t>
  </si>
  <si>
    <t>352.000.17</t>
  </si>
  <si>
    <t>Vabariigi Valitsus s.h.</t>
  </si>
  <si>
    <t>Tasandusfond par 11 lõgek 1</t>
  </si>
  <si>
    <t>Tasandusfond par 4 lõgek 2</t>
  </si>
  <si>
    <t xml:space="preserve"> Hariduskulud kokku</t>
  </si>
  <si>
    <t>Hariduskulud ( palgavahendid )</t>
  </si>
  <si>
    <t>Hariduskulud ( õppevahendid )</t>
  </si>
  <si>
    <t>Hariduskulud ( investeeringud )</t>
  </si>
  <si>
    <t>eraldised kooliüritusteks</t>
  </si>
  <si>
    <t>eraldised ainesektsioonideks</t>
  </si>
  <si>
    <t>lasteasutuste kolituskulud</t>
  </si>
  <si>
    <t>Vabariigi Valitsus (s.h.vahendid koolilõuna toetuseks, VV  määris nr))</t>
  </si>
  <si>
    <t>eraldised toimetulekutoetusteks (VV määrus nr )</t>
  </si>
  <si>
    <t xml:space="preserve">Hooldajatoetus (VV . määrus nr </t>
  </si>
  <si>
    <t>Sotsiaaltoetuse ja -teenuse korraldamiseks ja arendamiseks</t>
  </si>
  <si>
    <t>Sündide ja surmade reg.</t>
  </si>
  <si>
    <t>352.01</t>
  </si>
  <si>
    <t>Toetused HarjuMV-lt</t>
  </si>
  <si>
    <t>Valitsussektorisse kuuluvatelt muudelt avalik-õiguslikelt juriidilistelt isikutelt HOL</t>
  </si>
  <si>
    <t>352.03</t>
  </si>
  <si>
    <t>352.8</t>
  </si>
  <si>
    <t>Muudelt residentidelt (sponsor,sügislaada reklaam)</t>
  </si>
  <si>
    <t>38</t>
  </si>
  <si>
    <t>Muud Tulud</t>
  </si>
  <si>
    <t>381</t>
  </si>
  <si>
    <t>Materiaalsete ja immateriaalsete varade müük</t>
  </si>
  <si>
    <t>3810</t>
  </si>
  <si>
    <t>Maa müük</t>
  </si>
  <si>
    <t>3811</t>
  </si>
  <si>
    <t>Rajatiste ja hoonete müük</t>
  </si>
  <si>
    <t>3812</t>
  </si>
  <si>
    <t>Muude toodetud materiaalsete põhivarade müük</t>
  </si>
  <si>
    <t>3813</t>
  </si>
  <si>
    <t>Immateriaalsete põhivarade müük</t>
  </si>
  <si>
    <t>3814</t>
  </si>
  <si>
    <t>Bioloogiliste varade müük</t>
  </si>
  <si>
    <t>3818</t>
  </si>
  <si>
    <t>Varude müük</t>
  </si>
  <si>
    <t xml:space="preserve">       3825</t>
  </si>
  <si>
    <t>Laekumised keskkonnaasutuste majandustegevusest(veeerikasutamine)</t>
  </si>
  <si>
    <t>13</t>
  </si>
  <si>
    <t>131.01</t>
  </si>
  <si>
    <t>Toodetud materiaalsete põhivarade müük</t>
  </si>
  <si>
    <t>131.01.6</t>
  </si>
  <si>
    <t>Mitteamortiseeruvate väärtuste müük</t>
  </si>
  <si>
    <t>131.03</t>
  </si>
  <si>
    <t>Mittetoodetud põhivarade müük</t>
  </si>
  <si>
    <t>131.03.3</t>
  </si>
  <si>
    <t>Metsa müük</t>
  </si>
  <si>
    <t>131.03.9</t>
  </si>
  <si>
    <t>Muude mittetoodetud põhivarade müük</t>
  </si>
  <si>
    <t>131.04.1</t>
  </si>
  <si>
    <t>Strateegiliste varude müük</t>
  </si>
  <si>
    <t>131.04.2</t>
  </si>
  <si>
    <t>Tooraine ja materjali varude müük</t>
  </si>
  <si>
    <t>131.04.9</t>
  </si>
  <si>
    <t>Muude varude müük</t>
  </si>
  <si>
    <t>382</t>
  </si>
  <si>
    <t>Tulu varadelt</t>
  </si>
  <si>
    <t>3820</t>
  </si>
  <si>
    <t>Intressi- ja viivisetulud hoiustelt</t>
  </si>
  <si>
    <t>3820.8</t>
  </si>
  <si>
    <t>Kodumaistelt hoiustelt</t>
  </si>
  <si>
    <t>3820.9</t>
  </si>
  <si>
    <t>Välismaistelt hoiustelt</t>
  </si>
  <si>
    <t>3821</t>
  </si>
  <si>
    <t>Inressi ja viivisetulud ostetud väärtpaberitelt</t>
  </si>
  <si>
    <t>3821.0</t>
  </si>
  <si>
    <t>Valitsussiseselt ostetud väärpaberitelt</t>
  </si>
  <si>
    <t>3821.8</t>
  </si>
  <si>
    <t>Muudelt residentidelt ostetud väärpaberitelt</t>
  </si>
  <si>
    <t>3821,9</t>
  </si>
  <si>
    <t>Mitteresidentidelt ostetud väärtpaberitelt</t>
  </si>
  <si>
    <t>3822</t>
  </si>
  <si>
    <t>Inressi -,  viivise- ja kohustistastulud antud laenudelt</t>
  </si>
  <si>
    <t>3822.0</t>
  </si>
  <si>
    <t>Valitsussektorisiseselt antud laenudelt</t>
  </si>
  <si>
    <t>3822.8</t>
  </si>
  <si>
    <t>Muudele residentidele antud laenudelt</t>
  </si>
  <si>
    <t>3822.9</t>
  </si>
  <si>
    <t>Mitteresidentidele antud laenudelt</t>
  </si>
  <si>
    <t>3823</t>
  </si>
  <si>
    <t>Inressi ja viivisetulud muudelt finantsvaradelt</t>
  </si>
  <si>
    <t>3824</t>
  </si>
  <si>
    <t>Omanikutulud</t>
  </si>
  <si>
    <t>3825</t>
  </si>
  <si>
    <t>Rendi- ja üüritulud mittetoodetud põhivaradelt</t>
  </si>
  <si>
    <t>388</t>
  </si>
  <si>
    <t>Muud tulud</t>
  </si>
  <si>
    <t>3880</t>
  </si>
  <si>
    <t>Trahvid</t>
  </si>
  <si>
    <t>3882</t>
  </si>
  <si>
    <t>Saastetasu</t>
  </si>
  <si>
    <t>3888</t>
  </si>
  <si>
    <t>Eespool nimetamata muud tulud</t>
  </si>
  <si>
    <t>Finantseerimistehingud</t>
  </si>
  <si>
    <t>1011,2</t>
  </si>
  <si>
    <t>Aktsiate ja osade müük</t>
  </si>
  <si>
    <t>2081.5.8</t>
  </si>
  <si>
    <t>Laenu võtmine muudelt residentidelt</t>
  </si>
  <si>
    <t>1001</t>
  </si>
  <si>
    <t>MUUTUS KASSAS</t>
  </si>
  <si>
    <t>KÕIK KOKKU:</t>
  </si>
  <si>
    <t>Kohalikust eelarvest</t>
  </si>
  <si>
    <t>Omatulud</t>
  </si>
  <si>
    <t>Laenud</t>
  </si>
  <si>
    <t>Aktsiate müük</t>
  </si>
  <si>
    <t>Muutus kassas</t>
  </si>
  <si>
    <t>Kokku</t>
  </si>
  <si>
    <t>Riik</t>
  </si>
  <si>
    <t>Sihtotstarbelised</t>
  </si>
  <si>
    <t xml:space="preserve">Jaotamisele              </t>
  </si>
  <si>
    <t>Eelarve kokku:</t>
  </si>
  <si>
    <t>Eelarve väline</t>
  </si>
  <si>
    <t>KOKKU:</t>
  </si>
  <si>
    <t>sellest</t>
  </si>
  <si>
    <t>60% lubatud laenumaht</t>
  </si>
  <si>
    <t>2011. AASTA MAARDU LINNA EELARVE KULUDE KOONDTABEL</t>
  </si>
  <si>
    <t>II KULUD</t>
  </si>
  <si>
    <t>I lisaeelarve</t>
  </si>
  <si>
    <t>II lisaeelaeve</t>
  </si>
  <si>
    <t>III lisaeelaeve</t>
  </si>
  <si>
    <t>Eelarve klassifikaatori</t>
  </si>
  <si>
    <t>2011.a</t>
  </si>
  <si>
    <t>Tegevus-</t>
  </si>
  <si>
    <t>Kontode</t>
  </si>
  <si>
    <t>I  kinnitatud</t>
  </si>
  <si>
    <t>täpsusta-</t>
  </si>
  <si>
    <t>e/a suurenda-</t>
  </si>
  <si>
    <t xml:space="preserve">vahe </t>
  </si>
  <si>
    <t>alade</t>
  </si>
  <si>
    <t>majandus-</t>
  </si>
  <si>
    <t>koodid</t>
  </si>
  <si>
    <t xml:space="preserve">K  u  l  u     n  i  m  e  t  u  s </t>
  </si>
  <si>
    <t>tud eelarve</t>
  </si>
  <si>
    <t>mine,</t>
  </si>
  <si>
    <t>mine väh-</t>
  </si>
  <si>
    <t>2010-2009</t>
  </si>
  <si>
    <t>liku sisu</t>
  </si>
  <si>
    <t>endamine</t>
  </si>
  <si>
    <t xml:space="preserve">järgi  </t>
  </si>
  <si>
    <t>.+.-</t>
  </si>
  <si>
    <t>KULUD TEGEVUSALADE JÄRGI</t>
  </si>
  <si>
    <t>.01</t>
  </si>
  <si>
    <t>ÜLDISED VALITSUSSEKTORI TEENUSED</t>
  </si>
  <si>
    <t>sealhulgas:</t>
  </si>
  <si>
    <t>.01111</t>
  </si>
  <si>
    <t>Linnavolikogu</t>
  </si>
  <si>
    <t>.01112</t>
  </si>
  <si>
    <t>K O K K U :</t>
  </si>
  <si>
    <t>.011121</t>
  </si>
  <si>
    <t>Linnavalitsus</t>
  </si>
  <si>
    <t>.011123</t>
  </si>
  <si>
    <t xml:space="preserve"> Arhitektuuri- ja maakorralduse osakonnad</t>
  </si>
  <si>
    <t>Asjaajamise-ja haldustenuse osakond</t>
  </si>
  <si>
    <t>.011122</t>
  </si>
  <si>
    <t>Linnaarhiiv</t>
  </si>
  <si>
    <t>.01114</t>
  </si>
  <si>
    <t>Reservfond</t>
  </si>
  <si>
    <t xml:space="preserve">.- Üldine reserv </t>
  </si>
  <si>
    <t>.-Sihtotstarbeline (ainesektsioonid)</t>
  </si>
  <si>
    <t>.-Sihtotstarbeline (koolilõunad)</t>
  </si>
  <si>
    <t>.-Sihtotstarbeline (ühisüritused)</t>
  </si>
  <si>
    <t>.-Sihtotstarbeline (  Linnabusside dots. )</t>
  </si>
  <si>
    <t>.-Sihtotstarbeline (l/asutuste küte)</t>
  </si>
  <si>
    <t>.-Sihtotstarbeline (koolilõuna)</t>
  </si>
  <si>
    <t>.-Sihtotstarbeline  ettevõtluse toetamiseks</t>
  </si>
  <si>
    <t xml:space="preserve">.-Sihtotstarbeline </t>
  </si>
  <si>
    <t>.01330</t>
  </si>
  <si>
    <t xml:space="preserve">Muud üldised valitsussektori teenused </t>
  </si>
  <si>
    <t>.01600</t>
  </si>
  <si>
    <t>.016001</t>
  </si>
  <si>
    <t>Liikmemaks</t>
  </si>
  <si>
    <t>.-Eesti Linnade Liit</t>
  </si>
  <si>
    <t>.-Harju Omavalitsuste Liit</t>
  </si>
  <si>
    <t>.-Põhjamaade Liit</t>
  </si>
  <si>
    <t>.-Läänemere Linnade liit</t>
  </si>
  <si>
    <t>.016002</t>
  </si>
  <si>
    <t>Valimised</t>
  </si>
  <si>
    <t>.01700</t>
  </si>
  <si>
    <t>Inressid</t>
  </si>
  <si>
    <t>Väärtpaberite tagasiostmine muudelt residentidelt</t>
  </si>
  <si>
    <t>Valitsussektorisiseselt võetud laenudelt (intressid)</t>
  </si>
  <si>
    <t>Muudelt residentidelt võetud laenudelt (intressid)</t>
  </si>
  <si>
    <t xml:space="preserve"> KIK-i laenulepingu intress</t>
  </si>
  <si>
    <t>Arvelduslaenu intressid</t>
  </si>
  <si>
    <t>Väärtpaberite tagasiostmine</t>
  </si>
  <si>
    <t xml:space="preserve">muudelt residentidelt </t>
  </si>
  <si>
    <t>Võetud laenude tagasimaksmine</t>
  </si>
  <si>
    <t xml:space="preserve">valitsussektorisiseselt </t>
  </si>
  <si>
    <t>muudele residentidele</t>
  </si>
  <si>
    <t>Ülalnimetamata üldised valtsus-</t>
  </si>
  <si>
    <t>sektori kulud kokku</t>
  </si>
  <si>
    <t>.02</t>
  </si>
  <si>
    <t>RIIGIKAITSE</t>
  </si>
  <si>
    <t>.02500</t>
  </si>
  <si>
    <t>Kaitseliit</t>
  </si>
  <si>
    <t>.03</t>
  </si>
  <si>
    <t>AVALIK KORD JA JULGEOLEK</t>
  </si>
  <si>
    <t>.03100</t>
  </si>
  <si>
    <t>Politsei</t>
  </si>
  <si>
    <t>.031001</t>
  </si>
  <si>
    <t>Politsei kulud</t>
  </si>
  <si>
    <t>.031002</t>
  </si>
  <si>
    <t>Hukkunud isikute hukkumispigalt</t>
  </si>
  <si>
    <t>ekspertiisiveoga seotud kulud</t>
  </si>
  <si>
    <t>.03200</t>
  </si>
  <si>
    <t>Päästeteenistused</t>
  </si>
  <si>
    <t>.03600</t>
  </si>
  <si>
    <t>Muu avaluk kord ja julgeolek (VIDEOKAAMERAD)</t>
  </si>
  <si>
    <t xml:space="preserve"> Masinate ja seadmete soetamine</t>
  </si>
  <si>
    <t xml:space="preserve">Majandusosakond K O K K U: </t>
  </si>
  <si>
    <t>.04</t>
  </si>
  <si>
    <t>MAJANDUS</t>
  </si>
  <si>
    <t>.041</t>
  </si>
  <si>
    <t>Üldine majandus-,kaubandus- ja tööjõupoliitika</t>
  </si>
  <si>
    <t>.04110</t>
  </si>
  <si>
    <t>Üldine majandus- ja kaubanduspoliitika</t>
  </si>
  <si>
    <t>.04120</t>
  </si>
  <si>
    <t>Üldine tööjõupoliitika</t>
  </si>
  <si>
    <t>.042</t>
  </si>
  <si>
    <t>Põllu- ja metsamajandus,kalandus ja jahindus</t>
  </si>
  <si>
    <t>.04210</t>
  </si>
  <si>
    <t>Maakorradus</t>
  </si>
  <si>
    <t>Transpordikorraldus</t>
  </si>
  <si>
    <t>.04220</t>
  </si>
  <si>
    <t>Metsamajandus</t>
  </si>
  <si>
    <t>.04230</t>
  </si>
  <si>
    <t>Kalandus ja jahindus</t>
  </si>
  <si>
    <t>.043</t>
  </si>
  <si>
    <t>Kütus ja energia</t>
  </si>
  <si>
    <t>.04340</t>
  </si>
  <si>
    <t>Muu kütus</t>
  </si>
  <si>
    <t>.04350</t>
  </si>
  <si>
    <t>Elektrienerhia</t>
  </si>
  <si>
    <t>.04360</t>
  </si>
  <si>
    <t>Muu enrgia- ja soojamajandus</t>
  </si>
  <si>
    <t>.045</t>
  </si>
  <si>
    <t>Transport</t>
  </si>
  <si>
    <t>.04510</t>
  </si>
  <si>
    <t>Rajatiste ja hoonete soetamine ja renov.</t>
  </si>
  <si>
    <t>Maanteetransport (teede ja tänavate remont, korrashoid)</t>
  </si>
  <si>
    <t>.04511</t>
  </si>
  <si>
    <t>Liikluskorraldus</t>
  </si>
  <si>
    <t>Liikluskorralduse investeeringud</t>
  </si>
  <si>
    <t>:04512</t>
  </si>
  <si>
    <t>.047</t>
  </si>
  <si>
    <t>Muud majandusharud</t>
  </si>
  <si>
    <t>.4740</t>
  </si>
  <si>
    <t>Uurimis-ja arendustööde ostukulud</t>
  </si>
  <si>
    <t>Üldmajanduslikud arendusprojektid</t>
  </si>
  <si>
    <t>investeeringud</t>
  </si>
  <si>
    <t>.049</t>
  </si>
  <si>
    <t>Muu majandus (sh majanduse haldus)</t>
  </si>
  <si>
    <t>.04900</t>
  </si>
  <si>
    <t>Majandusosakond</t>
  </si>
  <si>
    <t>Haldusbüroo</t>
  </si>
  <si>
    <t>Muud majanduskulud</t>
  </si>
  <si>
    <t>.05</t>
  </si>
  <si>
    <t>KESKKONNAKAITSE</t>
  </si>
  <si>
    <t>.05100</t>
  </si>
  <si>
    <t>Jäätmekäitlus (prügivedu)</t>
  </si>
  <si>
    <t>.05200</t>
  </si>
  <si>
    <t>Heiteveekäitlus (sadama kollektor remt)</t>
  </si>
  <si>
    <t>.05300</t>
  </si>
  <si>
    <t>Saaste vähendamine</t>
  </si>
  <si>
    <t>.05400</t>
  </si>
  <si>
    <t>Bioloogilise mitmekesisuse ja</t>
  </si>
  <si>
    <t>maastiku kaitse (haljastus)</t>
  </si>
  <si>
    <t>.05500</t>
  </si>
  <si>
    <t>Teadus- ja arendustegevus keskonnakaitses</t>
  </si>
  <si>
    <t>.05600</t>
  </si>
  <si>
    <t>Muu keskonnakaitse (sh haldus)</t>
  </si>
  <si>
    <t>.06</t>
  </si>
  <si>
    <t>ELAMU- JA KOMMUNAALMAJANDUS</t>
  </si>
  <si>
    <t>.06100</t>
  </si>
  <si>
    <t>Elamumajanduse arendamine</t>
  </si>
  <si>
    <t>.06300</t>
  </si>
  <si>
    <t>Komminaalmajanduse arendamine</t>
  </si>
  <si>
    <t>Veevarustus</t>
  </si>
  <si>
    <t>Veevarustus , Veemajandus projekt</t>
  </si>
  <si>
    <t>.06400</t>
  </si>
  <si>
    <t>Tänavavalgustus</t>
  </si>
  <si>
    <t>Tänavavalgustue investeeringud</t>
  </si>
  <si>
    <t>.06500</t>
  </si>
  <si>
    <t>Teadus- ja arendustegevus kommunaalmajanduses</t>
  </si>
  <si>
    <t>MUU ELAMU- JA KOMMUNAALMAJANDUS</t>
  </si>
  <si>
    <t>.06601</t>
  </si>
  <si>
    <t>Elamu- ja kommunaalmajanduse haldamine</t>
  </si>
  <si>
    <t>.06602</t>
  </si>
  <si>
    <t>Maardu Leinamaja</t>
  </si>
  <si>
    <t>Kalmistu</t>
  </si>
  <si>
    <t>.06603</t>
  </si>
  <si>
    <t>Hulkuvate loomadega seotud tegevus</t>
  </si>
  <si>
    <t>.06605</t>
  </si>
  <si>
    <t>Muu elamu- ja kommunaalmajandose tegevus (linna kaunistamine, laste mänguväljakud jne)</t>
  </si>
  <si>
    <t>.07</t>
  </si>
  <si>
    <t>Tervishoid</t>
  </si>
  <si>
    <t>.07600</t>
  </si>
  <si>
    <t>Muu tervishoiud, sh haldamine</t>
  </si>
  <si>
    <t>TERVISHOID</t>
  </si>
  <si>
    <t>.07210</t>
  </si>
  <si>
    <t>Perearstikeskused</t>
  </si>
  <si>
    <t>.07201</t>
  </si>
  <si>
    <t>Toetus refraktomeetri ostmiseks</t>
  </si>
  <si>
    <t>Tasuta arstiabi AS Kallavere Haiglas ja Polikliinikus:</t>
  </si>
  <si>
    <t xml:space="preserve"> lapse esmane vastuvõtt </t>
  </si>
  <si>
    <t>.07340</t>
  </si>
  <si>
    <t>.- elanike täiendav voodipäevatasu haiglas viibimise eest</t>
  </si>
  <si>
    <t>.07250</t>
  </si>
  <si>
    <t>.-haigla meditsiiniaparatuuri soetamine</t>
  </si>
  <si>
    <t>.07220</t>
  </si>
  <si>
    <t>.-õpilaste prof. lõbivaatus eriarsti poolt</t>
  </si>
  <si>
    <t>.07240</t>
  </si>
  <si>
    <t>Toetus polikliiniku hoone II korr. remondiks( 50% )</t>
  </si>
  <si>
    <t>.08</t>
  </si>
  <si>
    <t>VABAAEG, KULTUUR JA RELIGIOON</t>
  </si>
  <si>
    <t>.081</t>
  </si>
  <si>
    <t>Vabaaja- ja sporditeenused</t>
  </si>
  <si>
    <t>.08101</t>
  </si>
  <si>
    <t>Spordikoolid</t>
  </si>
  <si>
    <t>.08102</t>
  </si>
  <si>
    <t>Sporditegevus (v.a. spordikoolid)</t>
  </si>
  <si>
    <t>.08103</t>
  </si>
  <si>
    <t>Puhkepargid kokku</t>
  </si>
  <si>
    <t>.-Looderpark s..h</t>
  </si>
  <si>
    <t>Majandamiskulud</t>
  </si>
  <si>
    <t>Investeeringud</t>
  </si>
  <si>
    <t>.-Metsapark s..h.</t>
  </si>
  <si>
    <t>.-Kellamäe park s..h.</t>
  </si>
  <si>
    <t>.-Haiglapark s..h.</t>
  </si>
  <si>
    <t>.-Laste mängu ja spordiplatsid s.h..</t>
  </si>
  <si>
    <t>.-skulptuuride ja purskkaevude investeeringud s..h.</t>
  </si>
  <si>
    <t>.08105</t>
  </si>
  <si>
    <t>Maardu Kunstidekool</t>
  </si>
  <si>
    <t>.08106</t>
  </si>
  <si>
    <t>Laste huvialamajad ja keskused</t>
  </si>
  <si>
    <t>.08107</t>
  </si>
  <si>
    <t>Noorsotöö ja noortekeskused</t>
  </si>
  <si>
    <t>.08108</t>
  </si>
  <si>
    <t>Täiskasvanute huvialaasutused</t>
  </si>
  <si>
    <t>.08109</t>
  </si>
  <si>
    <t>Linna sport ja vabaaeg kokku</t>
  </si>
  <si>
    <t>.082</t>
  </si>
  <si>
    <t>Kultuuriteenused</t>
  </si>
  <si>
    <t>.08201</t>
  </si>
  <si>
    <t>Linna raamatukogu</t>
  </si>
  <si>
    <t>.08202</t>
  </si>
  <si>
    <t>Linna rahvamaja</t>
  </si>
  <si>
    <t>.08203</t>
  </si>
  <si>
    <t>Muuseumid</t>
  </si>
  <si>
    <t>.08204</t>
  </si>
  <si>
    <t>Teatrid</t>
  </si>
  <si>
    <t>.08205</t>
  </si>
  <si>
    <t>Kinod</t>
  </si>
  <si>
    <t>.08206</t>
  </si>
  <si>
    <t>Kontsertorganisetsioonid</t>
  </si>
  <si>
    <t>.08207</t>
  </si>
  <si>
    <t>Munsuskaitse</t>
  </si>
  <si>
    <t>.08008</t>
  </si>
  <si>
    <t>Kultuuriüritused</t>
  </si>
  <si>
    <t>.08209</t>
  </si>
  <si>
    <t>Seltsitegevus</t>
  </si>
  <si>
    <t>.08208</t>
  </si>
  <si>
    <t xml:space="preserve">Linna kultuuriüritused </t>
  </si>
  <si>
    <t>.08300</t>
  </si>
  <si>
    <t>Ringhäälingu- ja kirjastamisteenused</t>
  </si>
  <si>
    <t>.083001</t>
  </si>
  <si>
    <t>LV nõunik</t>
  </si>
  <si>
    <t>.083002</t>
  </si>
  <si>
    <t>TV ja linnaleht</t>
  </si>
  <si>
    <t>.08400</t>
  </si>
  <si>
    <t xml:space="preserve"> Infokeskus'</t>
  </si>
  <si>
    <t>.08600</t>
  </si>
  <si>
    <t>Muu vaba aeg, kultuur, sh haldus</t>
  </si>
  <si>
    <t>.09</t>
  </si>
  <si>
    <t>HARIDUS</t>
  </si>
  <si>
    <t>.09110</t>
  </si>
  <si>
    <t>Eelharidus - Lasteaiad</t>
  </si>
  <si>
    <t>.091101</t>
  </si>
  <si>
    <t>LPK "Rõõm"</t>
  </si>
  <si>
    <t>.091102</t>
  </si>
  <si>
    <t>LPK "Rukkulill"</t>
  </si>
  <si>
    <t>.091103</t>
  </si>
  <si>
    <t>LPK "Sipsik"</t>
  </si>
  <si>
    <t>.091105</t>
  </si>
  <si>
    <t>Toitlustustoetus</t>
  </si>
  <si>
    <t>.091104</t>
  </si>
  <si>
    <t>Majanduskulude tagastamine</t>
  </si>
  <si>
    <t>.092</t>
  </si>
  <si>
    <t>Teise astme haridus</t>
  </si>
  <si>
    <t>.09212</t>
  </si>
  <si>
    <t>.092201</t>
  </si>
  <si>
    <t>.092202</t>
  </si>
  <si>
    <t>.092208</t>
  </si>
  <si>
    <t>Maardu Vangla</t>
  </si>
  <si>
    <t>Koolilõuna    sealhulgas:</t>
  </si>
  <si>
    <t>.092207</t>
  </si>
  <si>
    <t>teistele omavalitsustele</t>
  </si>
  <si>
    <t>.092204</t>
  </si>
  <si>
    <t>Programm "TIIGRIHÜPE"</t>
  </si>
  <si>
    <t>.092203</t>
  </si>
  <si>
    <t xml:space="preserve">Maardu Gümnaasiumi Õhtuune- ja </t>
  </si>
  <si>
    <t>Kaugõppe osakond</t>
  </si>
  <si>
    <t>.09222</t>
  </si>
  <si>
    <t>Kutseõppeasutused</t>
  </si>
  <si>
    <t>.096</t>
  </si>
  <si>
    <t>Hariduse abiteenused</t>
  </si>
  <si>
    <t>.09600</t>
  </si>
  <si>
    <t>Õpilasveo eriliinid (kes õpivad väljaspool Maardu linna)</t>
  </si>
  <si>
    <t>.09601</t>
  </si>
  <si>
    <t>Muu hariduse abiteenused</t>
  </si>
  <si>
    <t>.09800</t>
  </si>
  <si>
    <t>Muu haridus, sh.hariduse haldus</t>
  </si>
  <si>
    <t>.098001</t>
  </si>
  <si>
    <t>Hariduse peaspetsialist</t>
  </si>
  <si>
    <t>.098002</t>
  </si>
  <si>
    <t>Linna raamatupidmisüroo</t>
  </si>
  <si>
    <t>.098003</t>
  </si>
  <si>
    <t>Õppevahendite soetamine</t>
  </si>
  <si>
    <t>SOTSIAALNE KAITSE</t>
  </si>
  <si>
    <t>Haigete ja puuetega inimeste sotsiaalne kaitse</t>
  </si>
  <si>
    <t>Haigete sotiaalne kaitse</t>
  </si>
  <si>
    <t>Puuetega inimeste sotsiaalne kaitse</t>
  </si>
  <si>
    <t>Muu puuetega inimeste sotsiaalne kaitse</t>
  </si>
  <si>
    <t>Eakate sotsiaalne kaitse</t>
  </si>
  <si>
    <t>Muu eakate sotsiaalne kaitse</t>
  </si>
  <si>
    <t>Toitjakaotanute sotsiaalne kaitse</t>
  </si>
  <si>
    <t>Perekondade ja laste sotsiaalne kaitse</t>
  </si>
  <si>
    <t>Lastekodud</t>
  </si>
  <si>
    <t>Laste ja noorte sotsiaalhoolekandeasutused</t>
  </si>
  <si>
    <t>Muu perekondade ja laste sotsiaalne kaitse</t>
  </si>
  <si>
    <t xml:space="preserve"> Alaelaiste komisjoon</t>
  </si>
  <si>
    <t>Töötute sotsiaalne kaitse</t>
  </si>
  <si>
    <t>Eluasameteenused sotsiaalsetele riskirühmadele</t>
  </si>
  <si>
    <t>Muude sotsiaalsete riskirühmade kaitse</t>
  </si>
  <si>
    <t>Riskirühmade sotsiaalhoolekandeasutused</t>
  </si>
  <si>
    <t>.107001</t>
  </si>
  <si>
    <t>Eakate sotsiaalhoolekande asutused (hooldekogu)</t>
  </si>
  <si>
    <t>Riiklik toimetulekutoetus, sealhulgas</t>
  </si>
  <si>
    <t>.-Riiklik toimetulekutoetus</t>
  </si>
  <si>
    <t>.-Sotsiaaltoetuste ning  -teenuste osutamise toetus</t>
  </si>
  <si>
    <t>.-Sotsiaalteenuste korraldamise toetus</t>
  </si>
  <si>
    <t>Muu sotsiaalsete riskirühmade kaitse</t>
  </si>
  <si>
    <t>Ühekordsed Tsernooboli avarii likvidaatoritele</t>
  </si>
  <si>
    <t>Isikute raviteenused, kellel ei ole haigekassa kaarti</t>
  </si>
  <si>
    <t>Sõidusoodustused vanuritele</t>
  </si>
  <si>
    <t>Erandkorralised ühekordsedtoetused (avalduse alusel)</t>
  </si>
  <si>
    <t>kommunaalkulude osaline katmine (1000 kr)</t>
  </si>
  <si>
    <t>Kaabeltelevisiooni dotatsioon vanuritele (1000 korterit)</t>
  </si>
  <si>
    <t>Saunadotatsioon (puutega inimeste osaline pileti dotatsioon)</t>
  </si>
  <si>
    <t>Matusetoetus</t>
  </si>
  <si>
    <t>Muu sotsiaalne kaitse, sh haldus</t>
  </si>
  <si>
    <t>Sotsiaalabi osakond</t>
  </si>
  <si>
    <t>Projekt"tahan saada paremaks"</t>
  </si>
  <si>
    <t>Alaealiste komisjoni kulud</t>
  </si>
  <si>
    <t>FINANTSEERIMISTEHINGUD</t>
  </si>
  <si>
    <t>.10.1</t>
  </si>
  <si>
    <t xml:space="preserve">Finantsvarade suurenemine </t>
  </si>
  <si>
    <t>1009.1</t>
  </si>
  <si>
    <t xml:space="preserve"> hoiuste suurenemine</t>
  </si>
  <si>
    <t>1009.1.8</t>
  </si>
  <si>
    <t>kodumaiste planeeritavate hoiuste suurenemine</t>
  </si>
  <si>
    <t>1009.1.9</t>
  </si>
  <si>
    <t>välismaiste planeeritavate hoiuste suurenemine</t>
  </si>
  <si>
    <t>101.1</t>
  </si>
  <si>
    <t>väärtpaberite soetamine</t>
  </si>
  <si>
    <t>1011.1</t>
  </si>
  <si>
    <t>aktsiate ja osade soetamine</t>
  </si>
  <si>
    <t>1012.1.0</t>
  </si>
  <si>
    <t>valitsussektorisiseselt emiteeritud võlakirjade soetamine</t>
  </si>
  <si>
    <t>1012.1.8</t>
  </si>
  <si>
    <t>muude residentide poolt emiteeritud võlakirjade soetamine</t>
  </si>
  <si>
    <t>1019.1.9</t>
  </si>
  <si>
    <t>välismaiste osaluste soetamine</t>
  </si>
  <si>
    <t>1032.1.</t>
  </si>
  <si>
    <t>laenude andmine</t>
  </si>
  <si>
    <t>1032.1.0</t>
  </si>
  <si>
    <t>laenude andmine valitsussektorisiseselt</t>
  </si>
  <si>
    <t>1032.1.8</t>
  </si>
  <si>
    <t>laenude andmine muudele residentidele</t>
  </si>
  <si>
    <t>1032.1.9</t>
  </si>
  <si>
    <t>laenude andmine mitteresidentidele</t>
  </si>
  <si>
    <t>.10.2</t>
  </si>
  <si>
    <t xml:space="preserve">Finantsvarade vähenemine </t>
  </si>
  <si>
    <t>1009.2</t>
  </si>
  <si>
    <t xml:space="preserve"> hoiuste vähendamine</t>
  </si>
  <si>
    <t>1009.2.8</t>
  </si>
  <si>
    <t>kodumaiste planeeritavate hoiuste vähendamine</t>
  </si>
  <si>
    <t>1009.2.9</t>
  </si>
  <si>
    <t>välismaiste planeeritavate hoiuste vähendamine</t>
  </si>
  <si>
    <t>101.2</t>
  </si>
  <si>
    <t>väärtpaberite realiseerimine</t>
  </si>
  <si>
    <t>1011.2</t>
  </si>
  <si>
    <t>aktsiate ja osade realiseerimine</t>
  </si>
  <si>
    <t>1012.2.0</t>
  </si>
  <si>
    <t>valitsussektorisiseselt emiteeritud võlakirjade realiseerimine</t>
  </si>
  <si>
    <t>1012.2.8</t>
  </si>
  <si>
    <t>muude residentide poolt emiteeritud võlakirjade realiseerimine</t>
  </si>
  <si>
    <t>1019.2.9</t>
  </si>
  <si>
    <t>välismaiste osaluste realiseerimine</t>
  </si>
  <si>
    <t>1032.2.</t>
  </si>
  <si>
    <t>antud laenude tagastamine</t>
  </si>
  <si>
    <t>1032.2.0</t>
  </si>
  <si>
    <t>valitsussektorisiseselt antud laenude tagastamine</t>
  </si>
  <si>
    <t>1032.2.8</t>
  </si>
  <si>
    <t>muudele residentidele antud laenude tagastamine</t>
  </si>
  <si>
    <t>1032.2.9</t>
  </si>
  <si>
    <t>mitteresidentidele antud laenude tagastamine</t>
  </si>
  <si>
    <t>1001.</t>
  </si>
  <si>
    <t>muutus kassas ja mitteplaneeritavates hoiustes (netosuurenemine või vähenemine)</t>
  </si>
  <si>
    <t>1001.8</t>
  </si>
  <si>
    <t>muutus kassas ja kodumaistes mitteplaneeritavates hoiustes (netosuurenemine või vähenemine)</t>
  </si>
  <si>
    <t>1001.9</t>
  </si>
  <si>
    <t>muutus kassas ja välismaistesmaistes mitteplaneeritavates hoiustes (netosuurenemine või vähenemine)</t>
  </si>
  <si>
    <t>.20.5</t>
  </si>
  <si>
    <t>Kohustuste suuremine</t>
  </si>
  <si>
    <t>2080.5</t>
  </si>
  <si>
    <t>võlakirjade emiteerimine</t>
  </si>
  <si>
    <t>2080.5.0</t>
  </si>
  <si>
    <t>võlakirjade emiteerimine valitsussektorisiseselt</t>
  </si>
  <si>
    <t>.2080.5.8</t>
  </si>
  <si>
    <t>võlakirjade emiteerimine muudele residentidelt</t>
  </si>
  <si>
    <t>.2080.5.9</t>
  </si>
  <si>
    <t>võlakirjade emiteerimine mitteresidentidele</t>
  </si>
  <si>
    <t>2081.5</t>
  </si>
  <si>
    <t>laenude võtmine</t>
  </si>
  <si>
    <t>2081.5.0</t>
  </si>
  <si>
    <t>laenude võtmine valitsussektorisiseselt</t>
  </si>
  <si>
    <t>.2081.5.8</t>
  </si>
  <si>
    <t>laenude võtmine muudelt residentidelt</t>
  </si>
  <si>
    <t>2081.5.9.</t>
  </si>
  <si>
    <t>laenude võtmine mitteresidentidet</t>
  </si>
  <si>
    <t>332.03</t>
  </si>
  <si>
    <t>Laenude võtmine mittersidentidelt (+)</t>
  </si>
  <si>
    <t>.20.6</t>
  </si>
  <si>
    <t xml:space="preserve">Kohustuste vähenemine </t>
  </si>
  <si>
    <t>2080.6</t>
  </si>
  <si>
    <t>võlakirjade tagastamine</t>
  </si>
  <si>
    <t>2080.6.0</t>
  </si>
  <si>
    <t>võlakirjade tagasiostmine valitsussektorisiseselt</t>
  </si>
  <si>
    <t>.2080.6.8</t>
  </si>
  <si>
    <t>võlakirjade emiteerimine muudelt residentidelt</t>
  </si>
  <si>
    <t>.2080.6.9</t>
  </si>
  <si>
    <t>võlakirjade tagasiostmine mitteresidentidelt</t>
  </si>
  <si>
    <t>2081.6</t>
  </si>
  <si>
    <t>2081.6.0</t>
  </si>
  <si>
    <t>võetud laenude tagasimaksmine valitsussektorisiseselt</t>
  </si>
  <si>
    <t>.2081.6.8</t>
  </si>
  <si>
    <t>võetud laenude tagasimaksmine muudele residentidele</t>
  </si>
  <si>
    <t>2081.6.9.</t>
  </si>
  <si>
    <t>võetud laenude tagasimaksmine mitteresidentidele</t>
  </si>
  <si>
    <t>2082.6.</t>
  </si>
  <si>
    <t xml:space="preserve">kapitaliliisingu maksed </t>
  </si>
  <si>
    <t>.2082.6.8</t>
  </si>
  <si>
    <t>kapitaliliisingu maksed residentidele</t>
  </si>
  <si>
    <t>2082.6.9.</t>
  </si>
  <si>
    <t>kapitaliliisingu maksed mitteresidentidele</t>
  </si>
  <si>
    <t>KÕIK  K0KKU:</t>
  </si>
  <si>
    <t xml:space="preserve"> peale selle  kasutamata r.r.Reservis</t>
  </si>
  <si>
    <t>Omatuludest</t>
  </si>
  <si>
    <t>laenud</t>
  </si>
  <si>
    <t>Tulud</t>
  </si>
  <si>
    <t xml:space="preserve">                      2010. AASTA EELARVE KULUBAASI  KOONDTABEL.</t>
  </si>
  <si>
    <t xml:space="preserve">                                   Protsentuaalne jaotus tunnuste järgi.</t>
  </si>
  <si>
    <t>Kulude nimetus</t>
  </si>
  <si>
    <t>2005.a</t>
  </si>
  <si>
    <t>Kulude %</t>
  </si>
  <si>
    <t>2006.a</t>
  </si>
  <si>
    <t>eelarvest</t>
  </si>
  <si>
    <t xml:space="preserve"> täpsustatud</t>
  </si>
  <si>
    <t>Üldised valitsussektori teenused</t>
  </si>
  <si>
    <t>Avalik kord ja julgeolek</t>
  </si>
  <si>
    <t>Majandus</t>
  </si>
  <si>
    <t>Keskkonnakaitse</t>
  </si>
  <si>
    <t>Elamu- ja kommunaalmajandus</t>
  </si>
  <si>
    <t>Muu elamu- ja kommunaalmajandus</t>
  </si>
  <si>
    <t>Vabaaeg, kultuur ja religioon</t>
  </si>
  <si>
    <t>Haridus</t>
  </si>
  <si>
    <t>.10</t>
  </si>
  <si>
    <t>Sotsiaane kaitse</t>
  </si>
  <si>
    <t>Finanseerimistehingud</t>
  </si>
  <si>
    <t xml:space="preserve">               K O K K U:</t>
  </si>
  <si>
    <t xml:space="preserve">           Aasta</t>
  </si>
  <si>
    <t xml:space="preserve">   Kulud</t>
  </si>
  <si>
    <t>LISA 1</t>
  </si>
  <si>
    <t>KINNITATUD</t>
  </si>
  <si>
    <t>Maardu Linnavolikogu</t>
  </si>
  <si>
    <t>"  " november 2011.aasta</t>
  </si>
  <si>
    <t xml:space="preserve">määrusega nr </t>
  </si>
  <si>
    <t>MAARDU LINNAVALITSUSE  valitsemisala 2011.a.  II lisaeelarve tulud</t>
  </si>
  <si>
    <t>(euro)</t>
  </si>
  <si>
    <t xml:space="preserve"> klassifikaator</t>
  </si>
  <si>
    <t>Summa</t>
  </si>
  <si>
    <t xml:space="preserve"> T U L U D   K O K K U: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</si>
  <si>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</si>
  <si>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LISA 2</t>
  </si>
  <si>
    <t>määrusega nr</t>
  </si>
  <si>
    <t>MAARDU LINNAVALITSUSE  valitsemisala 2011.a. II lisa eelarve kulud</t>
  </si>
  <si>
    <t xml:space="preserve">      klassifikaator</t>
  </si>
  <si>
    <t>järgi</t>
  </si>
  <si>
    <t>MAARDU LINNAVOLIKOGU</t>
  </si>
  <si>
    <t>Dotatsioon (toetus H.Vinkman)</t>
  </si>
  <si>
    <t>Personalikulud</t>
  </si>
  <si>
    <t>Muud kulud</t>
  </si>
  <si>
    <t>K  O  K  K  U:</t>
  </si>
  <si>
    <t>MAARDU LINNAVALITSUS</t>
  </si>
  <si>
    <t>Dotatsioon (toetus T.Beeren)</t>
  </si>
  <si>
    <t>Materiaalsete ja immateriaalsete</t>
  </si>
  <si>
    <t>varade soetamine</t>
  </si>
  <si>
    <t>MAARDU LINNAARHIIV</t>
  </si>
  <si>
    <t>Materiaalsete ja immateriaalsete varade soe-</t>
  </si>
  <si>
    <t>tamine ja renoveerimine</t>
  </si>
  <si>
    <t>RESERVFOND</t>
  </si>
  <si>
    <t>Üldine reserv</t>
  </si>
  <si>
    <t>Vaba jääk</t>
  </si>
  <si>
    <t>Sihtotstarbeline (liinibusside dotsioon)</t>
  </si>
  <si>
    <t>OMAVALITSUSTE LIITUDE LIIKMEMAKS JA</t>
  </si>
  <si>
    <t>ÜHISTEGEVUSE KULUD</t>
  </si>
  <si>
    <t>VALIMISED</t>
  </si>
  <si>
    <t>VALITSUSSEKTORI VÕLA TEENENDAMINE</t>
  </si>
  <si>
    <t>Päästeteenistus</t>
  </si>
  <si>
    <t>POLITSEI</t>
  </si>
  <si>
    <t>Hukkunud isikute hukkumispaigalt ekspertiisiveoga</t>
  </si>
  <si>
    <t>seotud kulud</t>
  </si>
  <si>
    <t>MUU AVALIK KORD JA JULGEOLEK (videokaamerate teenendus)</t>
  </si>
  <si>
    <t xml:space="preserve"> Muu avalik kord</t>
  </si>
  <si>
    <t>MAARDU LINNA MAJANDUS KOKKU</t>
  </si>
  <si>
    <t xml:space="preserve"> MAJANDUS</t>
  </si>
  <si>
    <t>LINNA  ARENGU- JA MAJANDUSOSAKOND</t>
  </si>
  <si>
    <t>LINNA HALDUSBÜROO</t>
  </si>
  <si>
    <t>Materiaalsete varade soetamne</t>
  </si>
  <si>
    <t>infokeskuse kulud</t>
  </si>
  <si>
    <t xml:space="preserve"> HALDUSBÜROO KULUD K  O  K  K  U:</t>
  </si>
  <si>
    <t xml:space="preserve">Tasuta arsiabiteenused AS Kallavere Haiglas ja </t>
  </si>
  <si>
    <t>Polikliinikus:</t>
  </si>
  <si>
    <t>.- lapse esmane vastuvõtt 3,2 eurot</t>
  </si>
  <si>
    <t>.- elanike täiendav voodipäevatasu haiglas vii-</t>
  </si>
  <si>
    <t xml:space="preserve">    bimise eest</t>
  </si>
  <si>
    <t>.- õpilaste prf. läbivaatus eriarsti poolt</t>
  </si>
  <si>
    <t>.-haigla medsitsiiniaparatuuri soetamine</t>
  </si>
  <si>
    <t>Toetus kiirabi aparatuuri soetamiseks</t>
  </si>
  <si>
    <t xml:space="preserve">VABAAEG, KULTUUR JA RELIGIOON </t>
  </si>
  <si>
    <t>LINNA PUHKEPARGID</t>
  </si>
  <si>
    <t>MAARDU KUNSTIDE KOOL</t>
  </si>
  <si>
    <t>Eraldised</t>
  </si>
  <si>
    <t>NOORSOOTÖÖ JA NOORTEKESKUSED</t>
  </si>
  <si>
    <t>VABAAJA- JA SPORDIÜRITUSED</t>
  </si>
  <si>
    <t>MAARDU LINNA RAAMATUKOGU</t>
  </si>
  <si>
    <t>MAARDU  RAHVAMAJA</t>
  </si>
  <si>
    <t>Muud toetused</t>
  </si>
  <si>
    <t>MAARDU LINNA KULTUURIÜRITUSED</t>
  </si>
  <si>
    <t>KOHALIK TELEVISIOON JA AJALEHT</t>
  </si>
  <si>
    <t>EELHARIDUS- LASTEAIAD</t>
  </si>
  <si>
    <t>Rõõm</t>
  </si>
  <si>
    <t>Rukkilill</t>
  </si>
  <si>
    <t>Sipsik</t>
  </si>
  <si>
    <t>Eespool nimetamata muud kulud (majanduskulu-</t>
  </si>
  <si>
    <t>de tagastamine teistele omavalitsustele)</t>
  </si>
  <si>
    <t>Kohustuste vähenemine</t>
  </si>
  <si>
    <t>TEISE ASTME HARIDUS-MUNITSIPAALKOOLID</t>
  </si>
  <si>
    <t>Põhikool</t>
  </si>
  <si>
    <t>K/Keskkool</t>
  </si>
  <si>
    <t>Gümnaasium</t>
  </si>
  <si>
    <t>Koolilõuna</t>
  </si>
  <si>
    <t>Piimaraha</t>
  </si>
  <si>
    <t>Kapitaliliising</t>
  </si>
  <si>
    <t>Intressid, viivised ja kohustistasukulud</t>
  </si>
  <si>
    <t>varade soetamine ja renoveerimine</t>
  </si>
  <si>
    <t>TÄISKASVANUTE GÜMNAASIUM</t>
  </si>
  <si>
    <t>409.6.1</t>
  </si>
  <si>
    <t>222.02.5</t>
  </si>
  <si>
    <t>ÕPILASVEO ERILIINID</t>
  </si>
  <si>
    <t>HARIDUSE PEASPETSIALIST</t>
  </si>
  <si>
    <t>MAARDU LINNA RAAMATUPIDAMISBÜROO</t>
  </si>
  <si>
    <t>ÕPPEVAHENDITE SOETAMINE</t>
  </si>
  <si>
    <t xml:space="preserve">HAIGETE JA PUUETEGA INIMESTE </t>
  </si>
  <si>
    <t>EAKATE SOTSIAALNE KAITSE</t>
  </si>
  <si>
    <t>PEREKONDADE JA LASTE SOTSIAALNE KAITSE</t>
  </si>
  <si>
    <t>MUUDE SOTSIAALSETE RISKIRÜHMADE KAITSE</t>
  </si>
  <si>
    <t>MAARDU SOTSIAALMAJA</t>
  </si>
  <si>
    <t>Majandamiskulud(toidubank)</t>
  </si>
  <si>
    <t>Eakate sotsiaalhoolekandeasutused</t>
  </si>
  <si>
    <t>RIIKLIK TOIMETULEKUTOETUS</t>
  </si>
  <si>
    <t>MUU SOTSIAALSETE RISKIRÜHMADE KAITSE</t>
  </si>
  <si>
    <t>SOTSIAALABI OSAKOND</t>
  </si>
  <si>
    <t>K  U  L  U  D     K  O  K  K  U:</t>
  </si>
  <si>
    <t>"  " aprill 2011.aasta</t>
  </si>
  <si>
    <t>MAARDU LINNAVALITSUSE  valitsemisala 2011.a.lisaeelarve kulud</t>
  </si>
  <si>
    <t xml:space="preserve"> kassifikaator</t>
  </si>
  <si>
    <t>Dotatsioon (toetus H.Vikman)</t>
  </si>
  <si>
    <t xml:space="preserve"> ARHITEKTUURI- JA MAAKORRALDUSE OSAKONNAD</t>
  </si>
  <si>
    <t>Vaba jääk (seisuga 01.01.2004. a.)</t>
  </si>
  <si>
    <t>Sihtotstarbeline (hariduskorralduslikud kulud)</t>
  </si>
  <si>
    <t>Sihtotstarbelised (koolilõuna)</t>
  </si>
  <si>
    <t>MUU AVALIK KORD JA JULGEOLEK (Alfastaar)</t>
  </si>
  <si>
    <t xml:space="preserve">MAARDU LINNA MAJANDUS </t>
  </si>
  <si>
    <t>LINNA MAJANDUSOSAKOND</t>
  </si>
  <si>
    <t>MAARDU LEINAMAJA</t>
  </si>
  <si>
    <t xml:space="preserve">Arsiabiteenused AS Kallavere Haiglas ja </t>
  </si>
  <si>
    <t>.- lapse esmane vastuvõt</t>
  </si>
  <si>
    <t>Toetus kiirabi inventari soetamiseks</t>
  </si>
  <si>
    <t xml:space="preserve">               </t>
  </si>
  <si>
    <t>HARIDUSNÕUNIK</t>
  </si>
  <si>
    <t>STSIAALNE KAITSE</t>
  </si>
  <si>
    <t xml:space="preserve">SOTSIAALTOETUSTE JA -TEENUSTE </t>
  </si>
  <si>
    <t>KORRALDAMISEKS JA ARENDAMISEKS</t>
  </si>
  <si>
    <t>FINANTSTEERIMISHINGUD</t>
  </si>
  <si>
    <t>"  " november 2011 aasta</t>
  </si>
  <si>
    <t>MAARDU LINNAVALITSUSE  valitsemisala 2011. a. II lisaeelarve kulud</t>
  </si>
  <si>
    <t>Dotatsioon (toetus H.Beeren)</t>
  </si>
  <si>
    <t>ASJAAJAMISE- JA HALDUSTEENUSTE OSAKOND</t>
  </si>
  <si>
    <t>Sihtotstarbelised (linnasutust küte)</t>
  </si>
  <si>
    <t>MAARDU KALMISTU</t>
  </si>
  <si>
    <t>LOODE</t>
  </si>
  <si>
    <t>METSA</t>
  </si>
  <si>
    <t>KELLAMÄE</t>
  </si>
  <si>
    <t>HAIGLA</t>
  </si>
  <si>
    <t>MÄNGUV</t>
  </si>
  <si>
    <t>SKULPTUUR</t>
  </si>
  <si>
    <t>PUHKEPARGID</t>
  </si>
  <si>
    <t>"22" detsember 2008 aasta</t>
  </si>
  <si>
    <t>määrusega nr 172</t>
  </si>
  <si>
    <t>MAARDU LINNAVALITSUSE  valitsemisala 2008. a. II lisaeelarve kulud</t>
  </si>
  <si>
    <t xml:space="preserve">Valitsussektorisse kuuluvatelt sihtasutustelt </t>
  </si>
  <si>
    <t>3502.00.09</t>
  </si>
  <si>
    <t>Rahandusministeerium (CO2)</t>
  </si>
  <si>
    <t>Mat. ja immateriaal. varade  ja renoveerimine</t>
  </si>
  <si>
    <t>22.novembril 2011</t>
  </si>
  <si>
    <t>määrusega nr 57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</si>
</sst>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8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color indexed="16"/>
      <name val="Arial"/>
      <family val="2"/>
    </font>
    <font>
      <i/>
      <sz val="8"/>
      <color indexed="1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2.5"/>
      <color indexed="8"/>
      <name val="Arial"/>
      <family val="0"/>
    </font>
    <font>
      <b/>
      <sz val="2.25"/>
      <color indexed="8"/>
      <name val="Arial"/>
      <family val="0"/>
    </font>
    <font>
      <b/>
      <sz val="2"/>
      <color indexed="8"/>
      <name val="Arial"/>
      <family val="0"/>
    </font>
    <font>
      <sz val="2.25"/>
      <color indexed="8"/>
      <name val="Arial"/>
      <family val="0"/>
    </font>
    <font>
      <sz val="2.75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.5"/>
      <color indexed="8"/>
      <name val="Arial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600">
    <xf numFmtId="0" fontId="0" fillId="0" borderId="0" xfId="0" applyFont="1" applyAlignment="1">
      <alignment/>
    </xf>
    <xf numFmtId="49" fontId="3" fillId="0" borderId="0" xfId="58" applyNumberFormat="1" applyFont="1" applyFill="1" applyBorder="1" applyAlignment="1">
      <alignment horizontal="right"/>
      <protection/>
    </xf>
    <xf numFmtId="49" fontId="4" fillId="0" borderId="0" xfId="58" applyNumberFormat="1" applyFont="1" applyFill="1" applyBorder="1" applyAlignment="1">
      <alignment horizontal="left"/>
      <protection/>
    </xf>
    <xf numFmtId="3" fontId="5" fillId="0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Fill="1" applyBorder="1" applyAlignment="1">
      <alignment horizontal="right"/>
      <protection/>
    </xf>
    <xf numFmtId="3" fontId="3" fillId="0" borderId="0" xfId="58" applyNumberFormat="1" applyFont="1" applyFill="1" applyBorder="1">
      <alignment/>
      <protection/>
    </xf>
    <xf numFmtId="3" fontId="6" fillId="33" borderId="0" xfId="58" applyNumberFormat="1" applyFont="1" applyFill="1" applyBorder="1">
      <alignment/>
      <protection/>
    </xf>
    <xf numFmtId="3" fontId="3" fillId="33" borderId="0" xfId="58" applyNumberFormat="1" applyFont="1" applyFill="1" applyBorder="1">
      <alignment/>
      <protection/>
    </xf>
    <xf numFmtId="3" fontId="7" fillId="33" borderId="0" xfId="58" applyNumberFormat="1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3" fillId="0" borderId="0" xfId="58" applyFont="1" applyFill="1">
      <alignment/>
      <protection/>
    </xf>
    <xf numFmtId="49" fontId="3" fillId="0" borderId="0" xfId="58" applyNumberFormat="1" applyFont="1" applyFill="1" applyBorder="1">
      <alignment/>
      <protection/>
    </xf>
    <xf numFmtId="3" fontId="6" fillId="0" borderId="0" xfId="58" applyNumberFormat="1" applyFont="1" applyFill="1" applyBorder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3" fontId="5" fillId="0" borderId="0" xfId="58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49" fontId="3" fillId="0" borderId="11" xfId="58" applyNumberFormat="1" applyFont="1" applyFill="1" applyBorder="1">
      <alignment/>
      <protection/>
    </xf>
    <xf numFmtId="0" fontId="5" fillId="0" borderId="10" xfId="58" applyFont="1" applyFill="1" applyBorder="1" applyAlignment="1">
      <alignment horizontal="left"/>
      <protection/>
    </xf>
    <xf numFmtId="3" fontId="5" fillId="0" borderId="10" xfId="58" applyNumberFormat="1" applyFont="1" applyFill="1" applyBorder="1" applyAlignment="1">
      <alignment horizontal="left"/>
      <protection/>
    </xf>
    <xf numFmtId="0" fontId="5" fillId="0" borderId="10" xfId="58" applyFont="1" applyFill="1" applyBorder="1">
      <alignment/>
      <protection/>
    </xf>
    <xf numFmtId="3" fontId="8" fillId="0" borderId="10" xfId="58" applyNumberFormat="1" applyFont="1" applyFill="1" applyBorder="1">
      <alignment/>
      <protection/>
    </xf>
    <xf numFmtId="3" fontId="8" fillId="0" borderId="12" xfId="58" applyNumberFormat="1" applyFont="1" applyFill="1" applyBorder="1">
      <alignment/>
      <protection/>
    </xf>
    <xf numFmtId="3" fontId="6" fillId="33" borderId="10" xfId="58" applyNumberFormat="1" applyFont="1" applyFill="1" applyBorder="1">
      <alignment/>
      <protection/>
    </xf>
    <xf numFmtId="3" fontId="3" fillId="0" borderId="11" xfId="58" applyNumberFormat="1" applyFont="1" applyFill="1" applyBorder="1">
      <alignment/>
      <protection/>
    </xf>
    <xf numFmtId="3" fontId="3" fillId="0" borderId="10" xfId="58" applyNumberFormat="1" applyFont="1" applyFill="1" applyBorder="1">
      <alignment/>
      <protection/>
    </xf>
    <xf numFmtId="3" fontId="3" fillId="0" borderId="12" xfId="58" applyNumberFormat="1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49" fontId="3" fillId="0" borderId="13" xfId="58" applyNumberFormat="1" applyFont="1" applyFill="1" applyBorder="1">
      <alignment/>
      <protection/>
    </xf>
    <xf numFmtId="0" fontId="5" fillId="0" borderId="0" xfId="58" applyFont="1" applyFill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3" fillId="0" borderId="14" xfId="58" applyNumberFormat="1" applyFont="1" applyFill="1" applyBorder="1">
      <alignment/>
      <protection/>
    </xf>
    <xf numFmtId="3" fontId="3" fillId="0" borderId="15" xfId="58" applyNumberFormat="1" applyFont="1" applyFill="1" applyBorder="1">
      <alignment/>
      <protection/>
    </xf>
    <xf numFmtId="3" fontId="3" fillId="0" borderId="13" xfId="58" applyNumberFormat="1" applyFont="1" applyFill="1" applyBorder="1">
      <alignment/>
      <protection/>
    </xf>
    <xf numFmtId="49" fontId="3" fillId="0" borderId="16" xfId="58" applyNumberFormat="1" applyFont="1" applyFill="1" applyBorder="1" applyAlignment="1">
      <alignment horizontal="left"/>
      <protection/>
    </xf>
    <xf numFmtId="164" fontId="3" fillId="0" borderId="16" xfId="58" applyNumberFormat="1" applyFont="1" applyFill="1" applyBorder="1">
      <alignment/>
      <protection/>
    </xf>
    <xf numFmtId="3" fontId="3" fillId="0" borderId="17" xfId="58" applyNumberFormat="1" applyFont="1" applyFill="1" applyBorder="1" applyAlignment="1">
      <alignment horizontal="center"/>
      <protection/>
    </xf>
    <xf numFmtId="3" fontId="8" fillId="33" borderId="17" xfId="58" applyNumberFormat="1" applyFont="1" applyFill="1" applyBorder="1" applyAlignment="1">
      <alignment horizontal="center"/>
      <protection/>
    </xf>
    <xf numFmtId="3" fontId="3" fillId="0" borderId="16" xfId="58" applyNumberFormat="1" applyFont="1" applyFill="1" applyBorder="1" applyAlignment="1">
      <alignment horizontal="center"/>
      <protection/>
    </xf>
    <xf numFmtId="3" fontId="8" fillId="33" borderId="15" xfId="58" applyNumberFormat="1" applyFont="1" applyFill="1" applyBorder="1" applyAlignment="1">
      <alignment horizontal="center"/>
      <protection/>
    </xf>
    <xf numFmtId="3" fontId="9" fillId="33" borderId="18" xfId="58" applyNumberFormat="1" applyFont="1" applyFill="1" applyBorder="1" applyAlignment="1">
      <alignment horizontal="left"/>
      <protection/>
    </xf>
    <xf numFmtId="3" fontId="9" fillId="33" borderId="19" xfId="58" applyNumberFormat="1" applyFont="1" applyFill="1" applyBorder="1" applyAlignment="1">
      <alignment horizontal="center"/>
      <protection/>
    </xf>
    <xf numFmtId="3" fontId="9" fillId="0" borderId="20" xfId="58" applyNumberFormat="1" applyFont="1" applyFill="1" applyBorder="1" applyAlignment="1">
      <alignment horizontal="center"/>
      <protection/>
    </xf>
    <xf numFmtId="3" fontId="3" fillId="0" borderId="18" xfId="58" applyNumberFormat="1" applyFont="1" applyFill="1" applyBorder="1" applyAlignment="1">
      <alignment horizontal="center"/>
      <protection/>
    </xf>
    <xf numFmtId="3" fontId="3" fillId="0" borderId="19" xfId="58" applyNumberFormat="1" applyFont="1" applyFill="1" applyBorder="1" applyAlignment="1">
      <alignment horizontal="center"/>
      <protection/>
    </xf>
    <xf numFmtId="3" fontId="3" fillId="0" borderId="20" xfId="58" applyNumberFormat="1" applyFont="1" applyFill="1" applyBorder="1" applyAlignment="1">
      <alignment horizontal="center"/>
      <protection/>
    </xf>
    <xf numFmtId="3" fontId="3" fillId="0" borderId="21" xfId="58" applyNumberFormat="1" applyFont="1" applyFill="1" applyBorder="1" applyAlignment="1">
      <alignment horizontal="center"/>
      <protection/>
    </xf>
    <xf numFmtId="3" fontId="3" fillId="0" borderId="22" xfId="58" applyNumberFormat="1" applyFont="1" applyFill="1" applyBorder="1" applyAlignment="1">
      <alignment horizontal="center"/>
      <protection/>
    </xf>
    <xf numFmtId="3" fontId="3" fillId="0" borderId="0" xfId="58" applyNumberFormat="1" applyFont="1" applyFill="1" applyBorder="1" applyAlignment="1">
      <alignment horizontal="center"/>
      <protection/>
    </xf>
    <xf numFmtId="49" fontId="3" fillId="0" borderId="14" xfId="58" applyNumberFormat="1" applyFont="1" applyFill="1" applyBorder="1" applyAlignment="1">
      <alignment horizontal="center"/>
      <protection/>
    </xf>
    <xf numFmtId="0" fontId="3" fillId="0" borderId="14" xfId="58" applyFont="1" applyFill="1" applyBorder="1" applyAlignment="1">
      <alignment horizontal="center"/>
      <protection/>
    </xf>
    <xf numFmtId="3" fontId="3" fillId="0" borderId="13" xfId="58" applyNumberFormat="1" applyFont="1" applyFill="1" applyBorder="1" applyAlignment="1">
      <alignment horizontal="center"/>
      <protection/>
    </xf>
    <xf numFmtId="3" fontId="8" fillId="33" borderId="13" xfId="58" applyNumberFormat="1" applyFont="1" applyFill="1" applyBorder="1" applyAlignment="1">
      <alignment horizontal="center"/>
      <protection/>
    </xf>
    <xf numFmtId="3" fontId="3" fillId="0" borderId="14" xfId="58" applyNumberFormat="1" applyFont="1" applyFill="1" applyBorder="1" applyAlignment="1">
      <alignment horizontal="center"/>
      <protection/>
    </xf>
    <xf numFmtId="3" fontId="8" fillId="0" borderId="13" xfId="58" applyNumberFormat="1" applyFont="1" applyFill="1" applyBorder="1" applyAlignment="1">
      <alignment horizontal="center"/>
      <protection/>
    </xf>
    <xf numFmtId="3" fontId="7" fillId="0" borderId="18" xfId="58" applyNumberFormat="1" applyFont="1" applyFill="1" applyBorder="1" applyAlignment="1">
      <alignment horizontal="left"/>
      <protection/>
    </xf>
    <xf numFmtId="3" fontId="7" fillId="0" borderId="11" xfId="58" applyNumberFormat="1" applyFont="1" applyFill="1" applyBorder="1" applyAlignment="1">
      <alignment horizontal="left"/>
      <protection/>
    </xf>
    <xf numFmtId="3" fontId="7" fillId="0" borderId="10" xfId="58" applyNumberFormat="1" applyFont="1" applyFill="1" applyBorder="1" applyAlignment="1">
      <alignment horizontal="center"/>
      <protection/>
    </xf>
    <xf numFmtId="3" fontId="3" fillId="0" borderId="23" xfId="58" applyNumberFormat="1" applyFont="1" applyFill="1" applyBorder="1" applyAlignment="1">
      <alignment horizontal="center"/>
      <protection/>
    </xf>
    <xf numFmtId="3" fontId="3" fillId="0" borderId="10" xfId="58" applyNumberFormat="1" applyFont="1" applyFill="1" applyBorder="1" applyAlignment="1">
      <alignment horizontal="left"/>
      <protection/>
    </xf>
    <xf numFmtId="3" fontId="3" fillId="0" borderId="10" xfId="58" applyNumberFormat="1" applyFont="1" applyFill="1" applyBorder="1" applyAlignment="1">
      <alignment horizontal="center"/>
      <protection/>
    </xf>
    <xf numFmtId="3" fontId="3" fillId="0" borderId="24" xfId="58" applyNumberFormat="1" applyFont="1" applyFill="1" applyBorder="1" applyAlignment="1">
      <alignment horizontal="center"/>
      <protection/>
    </xf>
    <xf numFmtId="3" fontId="3" fillId="0" borderId="15" xfId="58" applyNumberFormat="1" applyFont="1" applyFill="1" applyBorder="1" applyAlignment="1">
      <alignment horizontal="center"/>
      <protection/>
    </xf>
    <xf numFmtId="0" fontId="3" fillId="0" borderId="14" xfId="58" applyFont="1" applyFill="1" applyBorder="1">
      <alignment/>
      <protection/>
    </xf>
    <xf numFmtId="3" fontId="7" fillId="0" borderId="13" xfId="58" applyNumberFormat="1" applyFont="1" applyFill="1" applyBorder="1" applyAlignment="1">
      <alignment horizontal="center"/>
      <protection/>
    </xf>
    <xf numFmtId="49" fontId="8" fillId="0" borderId="13" xfId="58" applyNumberFormat="1" applyFont="1" applyFill="1" applyBorder="1" applyAlignment="1">
      <alignment horizontal="center"/>
      <protection/>
    </xf>
    <xf numFmtId="0" fontId="8" fillId="33" borderId="13" xfId="58" applyFont="1" applyFill="1" applyBorder="1" applyAlignment="1">
      <alignment horizontal="center"/>
      <protection/>
    </xf>
    <xf numFmtId="3" fontId="8" fillId="0" borderId="14" xfId="58" applyNumberFormat="1" applyFont="1" applyFill="1" applyBorder="1" applyAlignment="1">
      <alignment horizontal="center"/>
      <protection/>
    </xf>
    <xf numFmtId="3" fontId="3" fillId="0" borderId="25" xfId="58" applyNumberFormat="1" applyFont="1" applyFill="1" applyBorder="1" applyAlignment="1">
      <alignment horizontal="left"/>
      <protection/>
    </xf>
    <xf numFmtId="3" fontId="3" fillId="0" borderId="25" xfId="58" applyNumberFormat="1" applyFont="1" applyFill="1" applyBorder="1" applyAlignment="1">
      <alignment horizontal="center"/>
      <protection/>
    </xf>
    <xf numFmtId="0" fontId="3" fillId="0" borderId="15" xfId="58" applyFont="1" applyFill="1" applyBorder="1">
      <alignment/>
      <protection/>
    </xf>
    <xf numFmtId="3" fontId="3" fillId="0" borderId="26" xfId="58" applyNumberFormat="1" applyFont="1" applyFill="1" applyBorder="1" applyAlignment="1">
      <alignment horizontal="left"/>
      <protection/>
    </xf>
    <xf numFmtId="3" fontId="3" fillId="0" borderId="27" xfId="58" applyNumberFormat="1" applyFont="1" applyFill="1" applyBorder="1" applyAlignment="1">
      <alignment horizontal="center"/>
      <protection/>
    </xf>
    <xf numFmtId="49" fontId="3" fillId="0" borderId="28" xfId="58" applyNumberFormat="1" applyFont="1" applyFill="1" applyBorder="1" applyAlignment="1">
      <alignment horizontal="center"/>
      <protection/>
    </xf>
    <xf numFmtId="0" fontId="3" fillId="0" borderId="28" xfId="58" applyFont="1" applyFill="1" applyBorder="1">
      <alignment/>
      <protection/>
    </xf>
    <xf numFmtId="3" fontId="3" fillId="0" borderId="11" xfId="58" applyNumberFormat="1" applyFont="1" applyFill="1" applyBorder="1" applyAlignment="1">
      <alignment horizontal="center"/>
      <protection/>
    </xf>
    <xf numFmtId="3" fontId="8" fillId="33" borderId="11" xfId="58" applyNumberFormat="1" applyFont="1" applyFill="1" applyBorder="1" applyAlignment="1">
      <alignment horizontal="center"/>
      <protection/>
    </xf>
    <xf numFmtId="3" fontId="3" fillId="0" borderId="28" xfId="58" applyNumberFormat="1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"/>
      <protection/>
    </xf>
    <xf numFmtId="3" fontId="3" fillId="0" borderId="29" xfId="58" applyNumberFormat="1" applyFont="1" applyFill="1" applyBorder="1" applyAlignment="1">
      <alignment horizontal="left"/>
      <protection/>
    </xf>
    <xf numFmtId="3" fontId="10" fillId="0" borderId="29" xfId="58" applyNumberFormat="1" applyFont="1" applyFill="1" applyBorder="1" applyAlignment="1">
      <alignment horizontal="center"/>
      <protection/>
    </xf>
    <xf numFmtId="3" fontId="3" fillId="0" borderId="29" xfId="58" applyNumberFormat="1" applyFont="1" applyFill="1" applyBorder="1" applyAlignment="1">
      <alignment horizontal="center"/>
      <protection/>
    </xf>
    <xf numFmtId="3" fontId="3" fillId="0" borderId="30" xfId="58" applyNumberFormat="1" applyFont="1" applyFill="1" applyBorder="1" applyAlignment="1">
      <alignment horizontal="center"/>
      <protection/>
    </xf>
    <xf numFmtId="3" fontId="3" fillId="0" borderId="31" xfId="58" applyNumberFormat="1" applyFont="1" applyFill="1" applyBorder="1" applyAlignment="1">
      <alignment horizontal="left"/>
      <protection/>
    </xf>
    <xf numFmtId="3" fontId="3" fillId="0" borderId="32" xfId="58" applyNumberFormat="1" applyFont="1" applyFill="1" applyBorder="1" applyAlignment="1">
      <alignment horizontal="center"/>
      <protection/>
    </xf>
    <xf numFmtId="3" fontId="3" fillId="0" borderId="12" xfId="58" applyNumberFormat="1" applyFont="1" applyFill="1" applyBorder="1" applyAlignment="1">
      <alignment horizontal="center"/>
      <protection/>
    </xf>
    <xf numFmtId="3" fontId="3" fillId="33" borderId="0" xfId="58" applyNumberFormat="1" applyFont="1" applyFill="1" applyBorder="1" applyAlignment="1">
      <alignment horizontal="left"/>
      <protection/>
    </xf>
    <xf numFmtId="3" fontId="3" fillId="33" borderId="0" xfId="58" applyNumberFormat="1" applyFont="1" applyFill="1" applyBorder="1" applyAlignment="1">
      <alignment horizontal="center"/>
      <protection/>
    </xf>
    <xf numFmtId="0" fontId="3" fillId="33" borderId="0" xfId="58" applyFont="1" applyFill="1" applyBorder="1">
      <alignment/>
      <protection/>
    </xf>
    <xf numFmtId="0" fontId="3" fillId="0" borderId="11" xfId="58" applyFont="1" applyFill="1" applyBorder="1" applyAlignment="1">
      <alignment horizontal="center"/>
      <protection/>
    </xf>
    <xf numFmtId="3" fontId="3" fillId="0" borderId="33" xfId="58" applyNumberFormat="1" applyFont="1" applyFill="1" applyBorder="1" applyAlignment="1">
      <alignment horizontal="center"/>
      <protection/>
    </xf>
    <xf numFmtId="3" fontId="11" fillId="33" borderId="22" xfId="58" applyNumberFormat="1" applyFont="1" applyFill="1" applyBorder="1" applyAlignment="1">
      <alignment horizontal="center"/>
      <protection/>
    </xf>
    <xf numFmtId="3" fontId="3" fillId="0" borderId="34" xfId="58" applyNumberFormat="1" applyFont="1" applyFill="1" applyBorder="1" applyAlignment="1">
      <alignment horizontal="center"/>
      <protection/>
    </xf>
    <xf numFmtId="3" fontId="3" fillId="0" borderId="35" xfId="58" applyNumberFormat="1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center"/>
      <protection/>
    </xf>
    <xf numFmtId="49" fontId="5" fillId="0" borderId="18" xfId="58" applyNumberFormat="1" applyFont="1" applyFill="1" applyBorder="1" applyAlignment="1">
      <alignment horizontal="center"/>
      <protection/>
    </xf>
    <xf numFmtId="3" fontId="5" fillId="0" borderId="33" xfId="58" applyNumberFormat="1" applyFont="1" applyFill="1" applyBorder="1" applyAlignment="1">
      <alignment horizontal="center" shrinkToFit="1"/>
      <protection/>
    </xf>
    <xf numFmtId="3" fontId="12" fillId="0" borderId="19" xfId="58" applyNumberFormat="1" applyFont="1" applyFill="1" applyBorder="1" applyAlignment="1">
      <alignment horizontal="right"/>
      <protection/>
    </xf>
    <xf numFmtId="3" fontId="12" fillId="0" borderId="36" xfId="58" applyNumberFormat="1" applyFont="1" applyFill="1" applyBorder="1" applyAlignment="1">
      <alignment horizontal="right"/>
      <protection/>
    </xf>
    <xf numFmtId="3" fontId="12" fillId="0" borderId="37" xfId="58" applyNumberFormat="1" applyFont="1" applyFill="1" applyBorder="1" applyAlignment="1">
      <alignment horizontal="right"/>
      <protection/>
    </xf>
    <xf numFmtId="3" fontId="12" fillId="0" borderId="35" xfId="58" applyNumberFormat="1" applyFont="1" applyFill="1" applyBorder="1" applyAlignment="1">
      <alignment horizontal="right"/>
      <protection/>
    </xf>
    <xf numFmtId="3" fontId="5" fillId="33" borderId="38" xfId="58" applyNumberFormat="1" applyFont="1" applyFill="1" applyBorder="1" applyAlignment="1">
      <alignment horizontal="right"/>
      <protection/>
    </xf>
    <xf numFmtId="3" fontId="5" fillId="33" borderId="39" xfId="58" applyNumberFormat="1" applyFont="1" applyFill="1" applyBorder="1">
      <alignment/>
      <protection/>
    </xf>
    <xf numFmtId="3" fontId="5" fillId="0" borderId="33" xfId="58" applyNumberFormat="1" applyFont="1" applyFill="1" applyBorder="1" applyAlignment="1">
      <alignment horizontal="right"/>
      <protection/>
    </xf>
    <xf numFmtId="3" fontId="5" fillId="0" borderId="18" xfId="58" applyNumberFormat="1" applyFont="1" applyFill="1" applyBorder="1" applyAlignment="1">
      <alignment horizontal="right"/>
      <protection/>
    </xf>
    <xf numFmtId="3" fontId="5" fillId="0" borderId="38" xfId="58" applyNumberFormat="1" applyFont="1" applyFill="1" applyBorder="1" applyAlignment="1">
      <alignment horizontal="right"/>
      <protection/>
    </xf>
    <xf numFmtId="3" fontId="5" fillId="0" borderId="20" xfId="58" applyNumberFormat="1" applyFont="1" applyFill="1" applyBorder="1" applyAlignment="1">
      <alignment horizontal="right"/>
      <protection/>
    </xf>
    <xf numFmtId="3" fontId="5" fillId="0" borderId="40" xfId="58" applyNumberFormat="1" applyFont="1" applyFill="1" applyBorder="1" applyAlignment="1">
      <alignment horizontal="right"/>
      <protection/>
    </xf>
    <xf numFmtId="165" fontId="5" fillId="0" borderId="32" xfId="58" applyNumberFormat="1" applyFont="1" applyFill="1" applyBorder="1" applyAlignment="1">
      <alignment horizontal="right"/>
      <protection/>
    </xf>
    <xf numFmtId="165" fontId="5" fillId="0" borderId="0" xfId="58" applyNumberFormat="1" applyFont="1" applyFill="1" applyBorder="1" applyAlignment="1">
      <alignment horizontal="right"/>
      <protection/>
    </xf>
    <xf numFmtId="3" fontId="5" fillId="33" borderId="0" xfId="58" applyNumberFormat="1" applyFont="1" applyFill="1" applyBorder="1" applyAlignment="1">
      <alignment horizontal="right"/>
      <protection/>
    </xf>
    <xf numFmtId="3" fontId="3" fillId="33" borderId="0" xfId="58" applyNumberFormat="1" applyFont="1" applyFill="1" applyBorder="1" applyAlignment="1">
      <alignment horizontal="right"/>
      <protection/>
    </xf>
    <xf numFmtId="49" fontId="13" fillId="33" borderId="41" xfId="58" applyNumberFormat="1" applyFont="1" applyFill="1" applyBorder="1" applyAlignment="1">
      <alignment horizontal="center"/>
      <protection/>
    </xf>
    <xf numFmtId="0" fontId="13" fillId="34" borderId="42" xfId="58" applyFont="1" applyFill="1" applyBorder="1" applyAlignment="1">
      <alignment horizontal="center"/>
      <protection/>
    </xf>
    <xf numFmtId="3" fontId="13" fillId="34" borderId="16" xfId="58" applyNumberFormat="1" applyFont="1" applyFill="1" applyBorder="1" applyAlignment="1">
      <alignment horizontal="center" shrinkToFit="1"/>
      <protection/>
    </xf>
    <xf numFmtId="3" fontId="14" fillId="34" borderId="43" xfId="58" applyNumberFormat="1" applyFont="1" applyFill="1" applyBorder="1">
      <alignment/>
      <protection/>
    </xf>
    <xf numFmtId="3" fontId="12" fillId="34" borderId="11" xfId="58" applyNumberFormat="1" applyFont="1" applyFill="1" applyBorder="1" applyAlignment="1">
      <alignment horizontal="right"/>
      <protection/>
    </xf>
    <xf numFmtId="3" fontId="12" fillId="34" borderId="44" xfId="58" applyNumberFormat="1" applyFont="1" applyFill="1" applyBorder="1" applyAlignment="1">
      <alignment horizontal="right"/>
      <protection/>
    </xf>
    <xf numFmtId="3" fontId="12" fillId="34" borderId="32" xfId="58" applyNumberFormat="1" applyFont="1" applyFill="1" applyBorder="1" applyAlignment="1">
      <alignment horizontal="right"/>
      <protection/>
    </xf>
    <xf numFmtId="3" fontId="5" fillId="34" borderId="45" xfId="58" applyNumberFormat="1" applyFont="1" applyFill="1" applyBorder="1" applyAlignment="1">
      <alignment horizontal="right"/>
      <protection/>
    </xf>
    <xf numFmtId="3" fontId="13" fillId="34" borderId="33" xfId="58" applyNumberFormat="1" applyFont="1" applyFill="1" applyBorder="1">
      <alignment/>
      <protection/>
    </xf>
    <xf numFmtId="3" fontId="13" fillId="34" borderId="36" xfId="58" applyNumberFormat="1" applyFont="1" applyFill="1" applyBorder="1">
      <alignment/>
      <protection/>
    </xf>
    <xf numFmtId="3" fontId="5" fillId="34" borderId="38" xfId="58" applyNumberFormat="1" applyFont="1" applyFill="1" applyBorder="1" applyAlignment="1">
      <alignment horizontal="right"/>
      <protection/>
    </xf>
    <xf numFmtId="3" fontId="13" fillId="34" borderId="22" xfId="58" applyNumberFormat="1" applyFont="1" applyFill="1" applyBorder="1">
      <alignment/>
      <protection/>
    </xf>
    <xf numFmtId="3" fontId="13" fillId="34" borderId="16" xfId="58" applyNumberFormat="1" applyFont="1" applyFill="1" applyBorder="1">
      <alignment/>
      <protection/>
    </xf>
    <xf numFmtId="3" fontId="13" fillId="34" borderId="41" xfId="58" applyNumberFormat="1" applyFont="1" applyFill="1" applyBorder="1">
      <alignment/>
      <protection/>
    </xf>
    <xf numFmtId="3" fontId="13" fillId="33" borderId="20" xfId="58" applyNumberFormat="1" applyFont="1" applyFill="1" applyBorder="1">
      <alignment/>
      <protection/>
    </xf>
    <xf numFmtId="3" fontId="13" fillId="33" borderId="33" xfId="58" applyNumberFormat="1" applyFont="1" applyFill="1" applyBorder="1">
      <alignment/>
      <protection/>
    </xf>
    <xf numFmtId="3" fontId="13" fillId="33" borderId="18" xfId="58" applyNumberFormat="1" applyFont="1" applyFill="1" applyBorder="1">
      <alignment/>
      <protection/>
    </xf>
    <xf numFmtId="3" fontId="5" fillId="33" borderId="35" xfId="58" applyNumberFormat="1" applyFont="1" applyFill="1" applyBorder="1" applyAlignment="1">
      <alignment horizontal="right"/>
      <protection/>
    </xf>
    <xf numFmtId="165" fontId="5" fillId="33" borderId="32" xfId="58" applyNumberFormat="1" applyFont="1" applyFill="1" applyBorder="1" applyAlignment="1">
      <alignment horizontal="right"/>
      <protection/>
    </xf>
    <xf numFmtId="3" fontId="13" fillId="33" borderId="0" xfId="58" applyNumberFormat="1" applyFont="1" applyFill="1" applyBorder="1">
      <alignment/>
      <protection/>
    </xf>
    <xf numFmtId="49" fontId="5" fillId="33" borderId="41" xfId="58" applyNumberFormat="1" applyFont="1" applyFill="1" applyBorder="1" applyAlignment="1">
      <alignment horizontal="center"/>
      <protection/>
    </xf>
    <xf numFmtId="0" fontId="5" fillId="33" borderId="42" xfId="58" applyFont="1" applyFill="1" applyBorder="1" applyAlignment="1">
      <alignment horizontal="center"/>
      <protection/>
    </xf>
    <xf numFmtId="3" fontId="5" fillId="33" borderId="16" xfId="58" applyNumberFormat="1" applyFont="1" applyFill="1" applyBorder="1" applyAlignment="1">
      <alignment horizontal="center" shrinkToFit="1"/>
      <protection/>
    </xf>
    <xf numFmtId="3" fontId="12" fillId="33" borderId="43" xfId="58" applyNumberFormat="1" applyFont="1" applyFill="1" applyBorder="1">
      <alignment/>
      <protection/>
    </xf>
    <xf numFmtId="3" fontId="12" fillId="0" borderId="11" xfId="58" applyNumberFormat="1" applyFont="1" applyFill="1" applyBorder="1" applyAlignment="1">
      <alignment horizontal="right"/>
      <protection/>
    </xf>
    <xf numFmtId="3" fontId="12" fillId="0" borderId="44" xfId="58" applyNumberFormat="1" applyFont="1" applyFill="1" applyBorder="1" applyAlignment="1">
      <alignment horizontal="right"/>
      <protection/>
    </xf>
    <xf numFmtId="3" fontId="12" fillId="0" borderId="32" xfId="58" applyNumberFormat="1" applyFont="1" applyFill="1" applyBorder="1" applyAlignment="1">
      <alignment horizontal="right"/>
      <protection/>
    </xf>
    <xf numFmtId="3" fontId="5" fillId="33" borderId="45" xfId="58" applyNumberFormat="1" applyFont="1" applyFill="1" applyBorder="1" applyAlignment="1">
      <alignment horizontal="right"/>
      <protection/>
    </xf>
    <xf numFmtId="3" fontId="15" fillId="33" borderId="28" xfId="58" applyNumberFormat="1" applyFont="1" applyFill="1" applyBorder="1">
      <alignment/>
      <protection/>
    </xf>
    <xf numFmtId="3" fontId="5" fillId="33" borderId="28" xfId="58" applyNumberFormat="1" applyFont="1" applyFill="1" applyBorder="1">
      <alignment/>
      <protection/>
    </xf>
    <xf numFmtId="3" fontId="5" fillId="0" borderId="37" xfId="58" applyNumberFormat="1" applyFont="1" applyFill="1" applyBorder="1" applyAlignment="1">
      <alignment horizontal="right"/>
      <protection/>
    </xf>
    <xf numFmtId="3" fontId="5" fillId="33" borderId="46" xfId="58" applyNumberFormat="1" applyFont="1" applyFill="1" applyBorder="1">
      <alignment/>
      <protection/>
    </xf>
    <xf numFmtId="3" fontId="16" fillId="33" borderId="22" xfId="58" applyNumberFormat="1" applyFont="1" applyFill="1" applyBorder="1">
      <alignment/>
      <protection/>
    </xf>
    <xf numFmtId="3" fontId="5" fillId="33" borderId="12" xfId="58" applyNumberFormat="1" applyFont="1" applyFill="1" applyBorder="1">
      <alignment/>
      <protection/>
    </xf>
    <xf numFmtId="3" fontId="5" fillId="33" borderId="11" xfId="58" applyNumberFormat="1" applyFont="1" applyFill="1" applyBorder="1">
      <alignment/>
      <protection/>
    </xf>
    <xf numFmtId="3" fontId="5" fillId="33" borderId="32" xfId="58" applyNumberFormat="1" applyFont="1" applyFill="1" applyBorder="1" applyAlignment="1">
      <alignment horizontal="right"/>
      <protection/>
    </xf>
    <xf numFmtId="3" fontId="5" fillId="33" borderId="0" xfId="58" applyNumberFormat="1" applyFont="1" applyFill="1" applyBorder="1">
      <alignment/>
      <protection/>
    </xf>
    <xf numFmtId="0" fontId="3" fillId="33" borderId="0" xfId="58" applyFont="1" applyFill="1">
      <alignment/>
      <protection/>
    </xf>
    <xf numFmtId="49" fontId="3" fillId="33" borderId="39" xfId="58" applyNumberFormat="1" applyFont="1" applyFill="1" applyBorder="1" applyAlignment="1">
      <alignment horizontal="center"/>
      <protection/>
    </xf>
    <xf numFmtId="0" fontId="3" fillId="33" borderId="47" xfId="58" applyFont="1" applyFill="1" applyBorder="1">
      <alignment/>
      <protection/>
    </xf>
    <xf numFmtId="3" fontId="3" fillId="33" borderId="25" xfId="58" applyNumberFormat="1" applyFont="1" applyFill="1" applyBorder="1" applyAlignment="1">
      <alignment horizontal="center" shrinkToFit="1"/>
      <protection/>
    </xf>
    <xf numFmtId="3" fontId="17" fillId="33" borderId="48" xfId="58" applyNumberFormat="1" applyFont="1" applyFill="1" applyBorder="1">
      <alignment/>
      <protection/>
    </xf>
    <xf numFmtId="3" fontId="12" fillId="0" borderId="49" xfId="58" applyNumberFormat="1" applyFont="1" applyFill="1" applyBorder="1" applyAlignment="1">
      <alignment horizontal="right"/>
      <protection/>
    </xf>
    <xf numFmtId="3" fontId="12" fillId="0" borderId="50" xfId="58" applyNumberFormat="1" applyFont="1" applyFill="1" applyBorder="1" applyAlignment="1">
      <alignment horizontal="right"/>
      <protection/>
    </xf>
    <xf numFmtId="3" fontId="12" fillId="0" borderId="34" xfId="58" applyNumberFormat="1" applyFont="1" applyFill="1" applyBorder="1" applyAlignment="1">
      <alignment horizontal="right"/>
      <protection/>
    </xf>
    <xf numFmtId="3" fontId="5" fillId="33" borderId="51" xfId="58" applyNumberFormat="1" applyFont="1" applyFill="1" applyBorder="1" applyAlignment="1">
      <alignment horizontal="right"/>
      <protection/>
    </xf>
    <xf numFmtId="3" fontId="18" fillId="33" borderId="25" xfId="58" applyNumberFormat="1" applyFont="1" applyFill="1" applyBorder="1">
      <alignment/>
      <protection/>
    </xf>
    <xf numFmtId="3" fontId="3" fillId="33" borderId="25" xfId="58" applyNumberFormat="1" applyFont="1" applyFill="1" applyBorder="1">
      <alignment/>
      <protection/>
    </xf>
    <xf numFmtId="3" fontId="3" fillId="33" borderId="26" xfId="58" applyNumberFormat="1" applyFont="1" applyFill="1" applyBorder="1">
      <alignment/>
      <protection/>
    </xf>
    <xf numFmtId="3" fontId="3" fillId="33" borderId="39" xfId="58" applyNumberFormat="1" applyFont="1" applyFill="1" applyBorder="1">
      <alignment/>
      <protection/>
    </xf>
    <xf numFmtId="3" fontId="5" fillId="0" borderId="48" xfId="58" applyNumberFormat="1" applyFont="1" applyFill="1" applyBorder="1" applyAlignment="1">
      <alignment horizontal="right"/>
      <protection/>
    </xf>
    <xf numFmtId="3" fontId="10" fillId="33" borderId="52" xfId="58" applyNumberFormat="1" applyFont="1" applyFill="1" applyBorder="1">
      <alignment/>
      <protection/>
    </xf>
    <xf numFmtId="3" fontId="3" fillId="33" borderId="53" xfId="58" applyNumberFormat="1" applyFont="1" applyFill="1" applyBorder="1">
      <alignment/>
      <protection/>
    </xf>
    <xf numFmtId="3" fontId="3" fillId="33" borderId="54" xfId="58" applyNumberFormat="1" applyFont="1" applyFill="1" applyBorder="1">
      <alignment/>
      <protection/>
    </xf>
    <xf numFmtId="3" fontId="3" fillId="33" borderId="55" xfId="58" applyNumberFormat="1" applyFont="1" applyFill="1" applyBorder="1">
      <alignment/>
      <protection/>
    </xf>
    <xf numFmtId="3" fontId="3" fillId="33" borderId="46" xfId="58" applyNumberFormat="1" applyFont="1" applyFill="1" applyBorder="1">
      <alignment/>
      <protection/>
    </xf>
    <xf numFmtId="3" fontId="3" fillId="33" borderId="47" xfId="58" applyNumberFormat="1" applyFont="1" applyFill="1" applyBorder="1">
      <alignment/>
      <protection/>
    </xf>
    <xf numFmtId="3" fontId="5" fillId="33" borderId="46" xfId="58" applyNumberFormat="1" applyFont="1" applyFill="1" applyBorder="1" applyAlignment="1">
      <alignment horizontal="right"/>
      <protection/>
    </xf>
    <xf numFmtId="165" fontId="5" fillId="33" borderId="46" xfId="58" applyNumberFormat="1" applyFont="1" applyFill="1" applyBorder="1" applyAlignment="1">
      <alignment horizontal="right"/>
      <protection/>
    </xf>
    <xf numFmtId="0" fontId="2" fillId="0" borderId="0" xfId="57" applyFont="1">
      <alignment/>
      <protection/>
    </xf>
    <xf numFmtId="0" fontId="2" fillId="0" borderId="0" xfId="57">
      <alignment/>
      <protection/>
    </xf>
    <xf numFmtId="49" fontId="5" fillId="33" borderId="56" xfId="58" applyNumberFormat="1" applyFont="1" applyFill="1" applyBorder="1" applyAlignment="1">
      <alignment horizontal="center"/>
      <protection/>
    </xf>
    <xf numFmtId="0" fontId="5" fillId="33" borderId="50" xfId="58" applyFont="1" applyFill="1" applyBorder="1" applyAlignment="1">
      <alignment horizontal="center"/>
      <protection/>
    </xf>
    <xf numFmtId="3" fontId="5" fillId="33" borderId="23" xfId="58" applyNumberFormat="1" applyFont="1" applyFill="1" applyBorder="1" applyAlignment="1">
      <alignment horizontal="center" shrinkToFit="1"/>
      <protection/>
    </xf>
    <xf numFmtId="3" fontId="12" fillId="33" borderId="57" xfId="58" applyNumberFormat="1" applyFont="1" applyFill="1" applyBorder="1">
      <alignment/>
      <protection/>
    </xf>
    <xf numFmtId="3" fontId="12" fillId="0" borderId="58" xfId="58" applyNumberFormat="1" applyFont="1" applyFill="1" applyBorder="1" applyAlignment="1">
      <alignment horizontal="right"/>
      <protection/>
    </xf>
    <xf numFmtId="3" fontId="12" fillId="0" borderId="59" xfId="58" applyNumberFormat="1" applyFont="1" applyFill="1" applyBorder="1" applyAlignment="1">
      <alignment horizontal="right"/>
      <protection/>
    </xf>
    <xf numFmtId="3" fontId="12" fillId="0" borderId="53" xfId="58" applyNumberFormat="1" applyFont="1" applyFill="1" applyBorder="1" applyAlignment="1">
      <alignment horizontal="right"/>
      <protection/>
    </xf>
    <xf numFmtId="3" fontId="5" fillId="33" borderId="54" xfId="58" applyNumberFormat="1" applyFont="1" applyFill="1" applyBorder="1" applyAlignment="1">
      <alignment horizontal="right"/>
      <protection/>
    </xf>
    <xf numFmtId="3" fontId="15" fillId="33" borderId="60" xfId="58" applyNumberFormat="1" applyFont="1" applyFill="1" applyBorder="1">
      <alignment/>
      <protection/>
    </xf>
    <xf numFmtId="3" fontId="5" fillId="33" borderId="60" xfId="58" applyNumberFormat="1" applyFont="1" applyFill="1" applyBorder="1">
      <alignment/>
      <protection/>
    </xf>
    <xf numFmtId="3" fontId="5" fillId="0" borderId="61" xfId="58" applyNumberFormat="1" applyFont="1" applyFill="1" applyBorder="1" applyAlignment="1">
      <alignment horizontal="right"/>
      <protection/>
    </xf>
    <xf numFmtId="3" fontId="5" fillId="33" borderId="58" xfId="58" applyNumberFormat="1" applyFont="1" applyFill="1" applyBorder="1">
      <alignment/>
      <protection/>
    </xf>
    <xf numFmtId="3" fontId="5" fillId="33" borderId="53" xfId="58" applyNumberFormat="1" applyFont="1" applyFill="1" applyBorder="1">
      <alignment/>
      <protection/>
    </xf>
    <xf numFmtId="3" fontId="5" fillId="33" borderId="62" xfId="58" applyNumberFormat="1" applyFont="1" applyFill="1" applyBorder="1">
      <alignment/>
      <protection/>
    </xf>
    <xf numFmtId="3" fontId="5" fillId="33" borderId="53" xfId="58" applyNumberFormat="1" applyFont="1" applyFill="1" applyBorder="1" applyAlignment="1">
      <alignment horizontal="right"/>
      <protection/>
    </xf>
    <xf numFmtId="165" fontId="5" fillId="33" borderId="53" xfId="58" applyNumberFormat="1" applyFont="1" applyFill="1" applyBorder="1" applyAlignment="1">
      <alignment horizontal="right"/>
      <protection/>
    </xf>
    <xf numFmtId="3" fontId="7" fillId="33" borderId="0" xfId="58" applyNumberFormat="1" applyFont="1" applyFill="1" applyBorder="1" applyAlignment="1">
      <alignment horizontal="right"/>
      <protection/>
    </xf>
    <xf numFmtId="0" fontId="5" fillId="33" borderId="0" xfId="58" applyFont="1" applyFill="1" applyBorder="1">
      <alignment/>
      <protection/>
    </xf>
    <xf numFmtId="0" fontId="5" fillId="33" borderId="0" xfId="58" applyFont="1" applyFill="1">
      <alignment/>
      <protection/>
    </xf>
    <xf numFmtId="49" fontId="3" fillId="33" borderId="52" xfId="58" applyNumberFormat="1" applyFont="1" applyFill="1" applyBorder="1" applyAlignment="1">
      <alignment horizontal="center"/>
      <protection/>
    </xf>
    <xf numFmtId="0" fontId="3" fillId="33" borderId="59" xfId="58" applyFont="1" applyFill="1" applyBorder="1">
      <alignment/>
      <protection/>
    </xf>
    <xf numFmtId="3" fontId="3" fillId="33" borderId="60" xfId="58" applyNumberFormat="1" applyFont="1" applyFill="1" applyBorder="1" applyAlignment="1">
      <alignment horizontal="center" shrinkToFit="1"/>
      <protection/>
    </xf>
    <xf numFmtId="3" fontId="17" fillId="33" borderId="61" xfId="58" applyNumberFormat="1" applyFont="1" applyFill="1" applyBorder="1">
      <alignment/>
      <protection/>
    </xf>
    <xf numFmtId="3" fontId="2" fillId="33" borderId="60" xfId="58" applyNumberFormat="1" applyFont="1" applyFill="1" applyBorder="1">
      <alignment/>
      <protection/>
    </xf>
    <xf numFmtId="3" fontId="8" fillId="33" borderId="60" xfId="58" applyNumberFormat="1" applyFont="1" applyFill="1" applyBorder="1">
      <alignment/>
      <protection/>
    </xf>
    <xf numFmtId="3" fontId="8" fillId="33" borderId="62" xfId="58" applyNumberFormat="1" applyFont="1" applyFill="1" applyBorder="1">
      <alignment/>
      <protection/>
    </xf>
    <xf numFmtId="3" fontId="8" fillId="33" borderId="52" xfId="58" applyNumberFormat="1" applyFont="1" applyFill="1" applyBorder="1">
      <alignment/>
      <protection/>
    </xf>
    <xf numFmtId="3" fontId="5" fillId="0" borderId="0" xfId="58" applyNumberFormat="1" applyFont="1" applyFill="1" applyBorder="1" applyAlignment="1">
      <alignment horizontal="right"/>
      <protection/>
    </xf>
    <xf numFmtId="3" fontId="8" fillId="33" borderId="53" xfId="58" applyNumberFormat="1" applyFont="1" applyFill="1" applyBorder="1">
      <alignment/>
      <protection/>
    </xf>
    <xf numFmtId="3" fontId="7" fillId="33" borderId="62" xfId="58" applyNumberFormat="1" applyFont="1" applyFill="1" applyBorder="1">
      <alignment/>
      <protection/>
    </xf>
    <xf numFmtId="3" fontId="8" fillId="33" borderId="63" xfId="58" applyNumberFormat="1" applyFont="1" applyFill="1" applyBorder="1">
      <alignment/>
      <protection/>
    </xf>
    <xf numFmtId="3" fontId="8" fillId="33" borderId="59" xfId="58" applyNumberFormat="1" applyFont="1" applyFill="1" applyBorder="1">
      <alignment/>
      <protection/>
    </xf>
    <xf numFmtId="3" fontId="19" fillId="33" borderId="53" xfId="58" applyNumberFormat="1" applyFont="1" applyFill="1" applyBorder="1" applyAlignment="1">
      <alignment horizontal="right"/>
      <protection/>
    </xf>
    <xf numFmtId="165" fontId="16" fillId="33" borderId="0" xfId="58" applyNumberFormat="1" applyFont="1" applyFill="1" applyBorder="1" applyAlignment="1">
      <alignment horizontal="right"/>
      <protection/>
    </xf>
    <xf numFmtId="0" fontId="7" fillId="33" borderId="0" xfId="58" applyFont="1" applyFill="1" applyBorder="1">
      <alignment/>
      <protection/>
    </xf>
    <xf numFmtId="3" fontId="18" fillId="33" borderId="23" xfId="58" applyNumberFormat="1" applyFont="1" applyFill="1" applyBorder="1">
      <alignment/>
      <protection/>
    </xf>
    <xf numFmtId="3" fontId="3" fillId="33" borderId="23" xfId="58" applyNumberFormat="1" applyFont="1" applyFill="1" applyBorder="1">
      <alignment/>
      <protection/>
    </xf>
    <xf numFmtId="3" fontId="3" fillId="33" borderId="64" xfId="58" applyNumberFormat="1" applyFont="1" applyFill="1" applyBorder="1">
      <alignment/>
      <protection/>
    </xf>
    <xf numFmtId="3" fontId="3" fillId="33" borderId="56" xfId="58" applyNumberFormat="1" applyFont="1" applyFill="1" applyBorder="1">
      <alignment/>
      <protection/>
    </xf>
    <xf numFmtId="3" fontId="3" fillId="33" borderId="49" xfId="58" applyNumberFormat="1" applyFont="1" applyFill="1" applyBorder="1">
      <alignment/>
      <protection/>
    </xf>
    <xf numFmtId="3" fontId="3" fillId="33" borderId="65" xfId="58" applyNumberFormat="1" applyFont="1" applyFill="1" applyBorder="1">
      <alignment/>
      <protection/>
    </xf>
    <xf numFmtId="3" fontId="3" fillId="33" borderId="34" xfId="58" applyNumberFormat="1" applyFont="1" applyFill="1" applyBorder="1">
      <alignment/>
      <protection/>
    </xf>
    <xf numFmtId="3" fontId="3" fillId="33" borderId="50" xfId="58" applyNumberFormat="1" applyFont="1" applyFill="1" applyBorder="1">
      <alignment/>
      <protection/>
    </xf>
    <xf numFmtId="3" fontId="5" fillId="33" borderId="34" xfId="58" applyNumberFormat="1" applyFont="1" applyFill="1" applyBorder="1" applyAlignment="1">
      <alignment horizontal="right"/>
      <protection/>
    </xf>
    <xf numFmtId="0" fontId="3" fillId="33" borderId="59" xfId="58" applyFont="1" applyFill="1" applyBorder="1" applyAlignment="1">
      <alignment horizontal="left"/>
      <protection/>
    </xf>
    <xf numFmtId="3" fontId="17" fillId="33" borderId="61" xfId="58" applyNumberFormat="1" applyFont="1" applyFill="1" applyBorder="1" applyAlignment="1">
      <alignment horizontal="left"/>
      <protection/>
    </xf>
    <xf numFmtId="3" fontId="18" fillId="33" borderId="60" xfId="58" applyNumberFormat="1" applyFont="1" applyFill="1" applyBorder="1">
      <alignment/>
      <protection/>
    </xf>
    <xf numFmtId="3" fontId="3" fillId="33" borderId="60" xfId="58" applyNumberFormat="1" applyFont="1" applyFill="1" applyBorder="1">
      <alignment/>
      <protection/>
    </xf>
    <xf numFmtId="3" fontId="3" fillId="33" borderId="62" xfId="58" applyNumberFormat="1" applyFont="1" applyFill="1" applyBorder="1">
      <alignment/>
      <protection/>
    </xf>
    <xf numFmtId="3" fontId="3" fillId="33" borderId="52" xfId="58" applyNumberFormat="1" applyFont="1" applyFill="1" applyBorder="1">
      <alignment/>
      <protection/>
    </xf>
    <xf numFmtId="3" fontId="3" fillId="33" borderId="58" xfId="58" applyNumberFormat="1" applyFont="1" applyFill="1" applyBorder="1">
      <alignment/>
      <protection/>
    </xf>
    <xf numFmtId="3" fontId="3" fillId="33" borderId="63" xfId="58" applyNumberFormat="1" applyFont="1" applyFill="1" applyBorder="1">
      <alignment/>
      <protection/>
    </xf>
    <xf numFmtId="3" fontId="3" fillId="33" borderId="59" xfId="58" applyNumberFormat="1" applyFont="1" applyFill="1" applyBorder="1">
      <alignment/>
      <protection/>
    </xf>
    <xf numFmtId="0" fontId="13" fillId="33" borderId="0" xfId="58" applyFont="1" applyFill="1" applyBorder="1">
      <alignment/>
      <protection/>
    </xf>
    <xf numFmtId="49" fontId="5" fillId="33" borderId="52" xfId="58" applyNumberFormat="1" applyFont="1" applyFill="1" applyBorder="1" applyAlignment="1">
      <alignment horizontal="center"/>
      <protection/>
    </xf>
    <xf numFmtId="0" fontId="5" fillId="33" borderId="59" xfId="58" applyFont="1" applyFill="1" applyBorder="1" applyAlignment="1">
      <alignment horizontal="left"/>
      <protection/>
    </xf>
    <xf numFmtId="3" fontId="5" fillId="33" borderId="60" xfId="58" applyNumberFormat="1" applyFont="1" applyFill="1" applyBorder="1" applyAlignment="1">
      <alignment horizontal="center" shrinkToFit="1"/>
      <protection/>
    </xf>
    <xf numFmtId="3" fontId="12" fillId="33" borderId="61" xfId="58" applyNumberFormat="1" applyFont="1" applyFill="1" applyBorder="1">
      <alignment/>
      <protection/>
    </xf>
    <xf numFmtId="165" fontId="5" fillId="33" borderId="34" xfId="58" applyNumberFormat="1" applyFont="1" applyFill="1" applyBorder="1" applyAlignment="1">
      <alignment horizontal="right"/>
      <protection/>
    </xf>
    <xf numFmtId="3" fontId="3" fillId="33" borderId="57" xfId="58" applyNumberFormat="1" applyFont="1" applyFill="1" applyBorder="1">
      <alignment/>
      <protection/>
    </xf>
    <xf numFmtId="0" fontId="3" fillId="35" borderId="0" xfId="58" applyFont="1" applyFill="1" applyBorder="1">
      <alignment/>
      <protection/>
    </xf>
    <xf numFmtId="3" fontId="3" fillId="33" borderId="61" xfId="58" applyNumberFormat="1" applyFont="1" applyFill="1" applyBorder="1">
      <alignment/>
      <protection/>
    </xf>
    <xf numFmtId="3" fontId="20" fillId="33" borderId="0" xfId="58" applyNumberFormat="1" applyFont="1" applyFill="1" applyBorder="1">
      <alignment/>
      <protection/>
    </xf>
    <xf numFmtId="3" fontId="3" fillId="35" borderId="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49" fontId="3" fillId="33" borderId="66" xfId="58" applyNumberFormat="1" applyFont="1" applyFill="1" applyBorder="1" applyAlignment="1">
      <alignment horizontal="center"/>
      <protection/>
    </xf>
    <xf numFmtId="0" fontId="3" fillId="33" borderId="67" xfId="58" applyFont="1" applyFill="1" applyBorder="1" applyAlignment="1">
      <alignment horizontal="left"/>
      <protection/>
    </xf>
    <xf numFmtId="3" fontId="3" fillId="33" borderId="68" xfId="58" applyNumberFormat="1" applyFont="1" applyFill="1" applyBorder="1" applyAlignment="1">
      <alignment horizontal="center" shrinkToFit="1"/>
      <protection/>
    </xf>
    <xf numFmtId="3" fontId="17" fillId="33" borderId="69" xfId="58" applyNumberFormat="1" applyFont="1" applyFill="1" applyBorder="1" applyAlignment="1">
      <alignment horizontal="left"/>
      <protection/>
    </xf>
    <xf numFmtId="3" fontId="18" fillId="33" borderId="68" xfId="58" applyNumberFormat="1" applyFont="1" applyFill="1" applyBorder="1">
      <alignment/>
      <protection/>
    </xf>
    <xf numFmtId="3" fontId="3" fillId="33" borderId="68" xfId="58" applyNumberFormat="1" applyFont="1" applyFill="1" applyBorder="1">
      <alignment/>
      <protection/>
    </xf>
    <xf numFmtId="3" fontId="3" fillId="33" borderId="70" xfId="58" applyNumberFormat="1" applyFont="1" applyFill="1" applyBorder="1">
      <alignment/>
      <protection/>
    </xf>
    <xf numFmtId="3" fontId="3" fillId="33" borderId="69" xfId="58" applyNumberFormat="1" applyFont="1" applyFill="1" applyBorder="1">
      <alignment/>
      <protection/>
    </xf>
    <xf numFmtId="3" fontId="3" fillId="33" borderId="71" xfId="58" applyNumberFormat="1" applyFont="1" applyFill="1" applyBorder="1">
      <alignment/>
      <protection/>
    </xf>
    <xf numFmtId="3" fontId="3" fillId="33" borderId="72" xfId="58" applyNumberFormat="1" applyFont="1" applyFill="1" applyBorder="1">
      <alignment/>
      <protection/>
    </xf>
    <xf numFmtId="3" fontId="3" fillId="33" borderId="21" xfId="58" applyNumberFormat="1" applyFont="1" applyFill="1" applyBorder="1">
      <alignment/>
      <protection/>
    </xf>
    <xf numFmtId="3" fontId="3" fillId="33" borderId="67" xfId="58" applyNumberFormat="1" applyFont="1" applyFill="1" applyBorder="1">
      <alignment/>
      <protection/>
    </xf>
    <xf numFmtId="3" fontId="5" fillId="33" borderId="21" xfId="58" applyNumberFormat="1" applyFont="1" applyFill="1" applyBorder="1" applyAlignment="1">
      <alignment horizontal="right"/>
      <protection/>
    </xf>
    <xf numFmtId="165" fontId="5" fillId="33" borderId="24" xfId="58" applyNumberFormat="1" applyFont="1" applyFill="1" applyBorder="1" applyAlignment="1">
      <alignment horizontal="right"/>
      <protection/>
    </xf>
    <xf numFmtId="49" fontId="13" fillId="34" borderId="53" xfId="58" applyNumberFormat="1" applyFont="1" applyFill="1" applyBorder="1" applyAlignment="1">
      <alignment horizontal="center"/>
      <protection/>
    </xf>
    <xf numFmtId="0" fontId="13" fillId="34" borderId="59" xfId="58" applyFont="1" applyFill="1" applyBorder="1" applyAlignment="1">
      <alignment horizontal="center"/>
      <protection/>
    </xf>
    <xf numFmtId="3" fontId="13" fillId="34" borderId="60" xfId="58" applyNumberFormat="1" applyFont="1" applyFill="1" applyBorder="1" applyAlignment="1">
      <alignment horizontal="center" shrinkToFit="1"/>
      <protection/>
    </xf>
    <xf numFmtId="3" fontId="14" fillId="34" borderId="61" xfId="58" applyNumberFormat="1" applyFont="1" applyFill="1" applyBorder="1">
      <alignment/>
      <protection/>
    </xf>
    <xf numFmtId="3" fontId="12" fillId="34" borderId="58" xfId="58" applyNumberFormat="1" applyFont="1" applyFill="1" applyBorder="1" applyAlignment="1">
      <alignment horizontal="right"/>
      <protection/>
    </xf>
    <xf numFmtId="3" fontId="12" fillId="34" borderId="59" xfId="58" applyNumberFormat="1" applyFont="1" applyFill="1" applyBorder="1" applyAlignment="1">
      <alignment horizontal="right"/>
      <protection/>
    </xf>
    <xf numFmtId="3" fontId="12" fillId="34" borderId="53" xfId="58" applyNumberFormat="1" applyFont="1" applyFill="1" applyBorder="1" applyAlignment="1">
      <alignment horizontal="right"/>
      <protection/>
    </xf>
    <xf numFmtId="3" fontId="5" fillId="34" borderId="54" xfId="58" applyNumberFormat="1" applyFont="1" applyFill="1" applyBorder="1" applyAlignment="1">
      <alignment horizontal="right"/>
      <protection/>
    </xf>
    <xf numFmtId="3" fontId="21" fillId="34" borderId="60" xfId="58" applyNumberFormat="1" applyFont="1" applyFill="1" applyBorder="1">
      <alignment/>
      <protection/>
    </xf>
    <xf numFmtId="3" fontId="13" fillId="34" borderId="60" xfId="58" applyNumberFormat="1" applyFont="1" applyFill="1" applyBorder="1">
      <alignment/>
      <protection/>
    </xf>
    <xf numFmtId="3" fontId="13" fillId="34" borderId="58" xfId="58" applyNumberFormat="1" applyFont="1" applyFill="1" applyBorder="1">
      <alignment/>
      <protection/>
    </xf>
    <xf numFmtId="3" fontId="5" fillId="34" borderId="59" xfId="58" applyNumberFormat="1" applyFont="1" applyFill="1" applyBorder="1" applyAlignment="1">
      <alignment horizontal="right"/>
      <protection/>
    </xf>
    <xf numFmtId="3" fontId="13" fillId="34" borderId="53" xfId="58" applyNumberFormat="1" applyFont="1" applyFill="1" applyBorder="1">
      <alignment/>
      <protection/>
    </xf>
    <xf numFmtId="3" fontId="13" fillId="34" borderId="62" xfId="58" applyNumberFormat="1" applyFont="1" applyFill="1" applyBorder="1">
      <alignment/>
      <protection/>
    </xf>
    <xf numFmtId="3" fontId="13" fillId="33" borderId="62" xfId="58" applyNumberFormat="1" applyFont="1" applyFill="1" applyBorder="1">
      <alignment/>
      <protection/>
    </xf>
    <xf numFmtId="3" fontId="13" fillId="33" borderId="60" xfId="58" applyNumberFormat="1" applyFont="1" applyFill="1" applyBorder="1">
      <alignment/>
      <protection/>
    </xf>
    <xf numFmtId="3" fontId="13" fillId="33" borderId="58" xfId="58" applyNumberFormat="1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5" fillId="33" borderId="59" xfId="58" applyFont="1" applyFill="1" applyBorder="1" applyAlignment="1">
      <alignment horizontal="center"/>
      <protection/>
    </xf>
    <xf numFmtId="3" fontId="12" fillId="33" borderId="61" xfId="58" applyNumberFormat="1" applyFont="1" applyFill="1" applyBorder="1" applyAlignment="1">
      <alignment horizontal="right"/>
      <protection/>
    </xf>
    <xf numFmtId="3" fontId="15" fillId="33" borderId="60" xfId="58" applyNumberFormat="1" applyFont="1" applyFill="1" applyBorder="1" applyAlignment="1">
      <alignment horizontal="right"/>
      <protection/>
    </xf>
    <xf numFmtId="3" fontId="5" fillId="33" borderId="60" xfId="58" applyNumberFormat="1" applyFont="1" applyFill="1" applyBorder="1" applyAlignment="1">
      <alignment horizontal="right"/>
      <protection/>
    </xf>
    <xf numFmtId="3" fontId="5" fillId="33" borderId="62" xfId="58" applyNumberFormat="1" applyFont="1" applyFill="1" applyBorder="1" applyAlignment="1">
      <alignment horizontal="right"/>
      <protection/>
    </xf>
    <xf numFmtId="3" fontId="5" fillId="33" borderId="63" xfId="58" applyNumberFormat="1" applyFont="1" applyFill="1" applyBorder="1" applyAlignment="1">
      <alignment horizontal="right"/>
      <protection/>
    </xf>
    <xf numFmtId="3" fontId="5" fillId="33" borderId="58" xfId="58" applyNumberFormat="1" applyFont="1" applyFill="1" applyBorder="1" applyAlignment="1">
      <alignment horizontal="right"/>
      <protection/>
    </xf>
    <xf numFmtId="3" fontId="5" fillId="33" borderId="61" xfId="58" applyNumberFormat="1" applyFont="1" applyFill="1" applyBorder="1" applyAlignment="1">
      <alignment horizontal="right"/>
      <protection/>
    </xf>
    <xf numFmtId="0" fontId="5" fillId="33" borderId="0" xfId="58" applyFont="1" applyFill="1" applyBorder="1" applyAlignment="1">
      <alignment horizontal="right"/>
      <protection/>
    </xf>
    <xf numFmtId="3" fontId="18" fillId="33" borderId="52" xfId="58" applyNumberFormat="1" applyFont="1" applyFill="1" applyBorder="1">
      <alignment/>
      <protection/>
    </xf>
    <xf numFmtId="3" fontId="22" fillId="33" borderId="52" xfId="58" applyNumberFormat="1" applyFont="1" applyFill="1" applyBorder="1">
      <alignment/>
      <protection/>
    </xf>
    <xf numFmtId="0" fontId="5" fillId="33" borderId="59" xfId="58" applyFont="1" applyFill="1" applyBorder="1">
      <alignment/>
      <protection/>
    </xf>
    <xf numFmtId="3" fontId="15" fillId="33" borderId="52" xfId="58" applyNumberFormat="1" applyFont="1" applyFill="1" applyBorder="1">
      <alignment/>
      <protection/>
    </xf>
    <xf numFmtId="3" fontId="5" fillId="0" borderId="59" xfId="58" applyNumberFormat="1" applyFont="1" applyFill="1" applyBorder="1" applyAlignment="1">
      <alignment horizontal="right"/>
      <protection/>
    </xf>
    <xf numFmtId="3" fontId="23" fillId="33" borderId="52" xfId="58" applyNumberFormat="1" applyFont="1" applyFill="1" applyBorder="1">
      <alignment/>
      <protection/>
    </xf>
    <xf numFmtId="3" fontId="24" fillId="0" borderId="62" xfId="58" applyNumberFormat="1" applyFont="1" applyFill="1" applyBorder="1">
      <alignment/>
      <protection/>
    </xf>
    <xf numFmtId="3" fontId="5" fillId="33" borderId="61" xfId="58" applyNumberFormat="1" applyFont="1" applyFill="1" applyBorder="1">
      <alignment/>
      <protection/>
    </xf>
    <xf numFmtId="3" fontId="25" fillId="0" borderId="62" xfId="58" applyNumberFormat="1" applyFont="1" applyFill="1" applyBorder="1">
      <alignment/>
      <protection/>
    </xf>
    <xf numFmtId="49" fontId="26" fillId="0" borderId="52" xfId="58" applyNumberFormat="1" applyFont="1" applyFill="1" applyBorder="1" applyAlignment="1">
      <alignment horizontal="center"/>
      <protection/>
    </xf>
    <xf numFmtId="0" fontId="26" fillId="0" borderId="59" xfId="58" applyFont="1" applyFill="1" applyBorder="1">
      <alignment/>
      <protection/>
    </xf>
    <xf numFmtId="3" fontId="26" fillId="0" borderId="60" xfId="58" applyNumberFormat="1" applyFont="1" applyFill="1" applyBorder="1" applyAlignment="1">
      <alignment horizontal="center" shrinkToFit="1"/>
      <protection/>
    </xf>
    <xf numFmtId="3" fontId="27" fillId="33" borderId="61" xfId="58" applyNumberFormat="1" applyFont="1" applyFill="1" applyBorder="1">
      <alignment/>
      <protection/>
    </xf>
    <xf numFmtId="3" fontId="26" fillId="33" borderId="53" xfId="58" applyNumberFormat="1" applyFont="1" applyFill="1" applyBorder="1">
      <alignment/>
      <protection/>
    </xf>
    <xf numFmtId="3" fontId="13" fillId="33" borderId="53" xfId="58" applyNumberFormat="1" applyFont="1" applyFill="1" applyBorder="1">
      <alignment/>
      <protection/>
    </xf>
    <xf numFmtId="3" fontId="25" fillId="0" borderId="54" xfId="58" applyNumberFormat="1" applyFont="1" applyFill="1" applyBorder="1">
      <alignment/>
      <protection/>
    </xf>
    <xf numFmtId="3" fontId="26" fillId="33" borderId="63" xfId="58" applyNumberFormat="1" applyFont="1" applyFill="1" applyBorder="1">
      <alignment/>
      <protection/>
    </xf>
    <xf numFmtId="3" fontId="5" fillId="0" borderId="53" xfId="58" applyNumberFormat="1" applyFont="1" applyFill="1" applyBorder="1" applyAlignment="1">
      <alignment horizontal="right"/>
      <protection/>
    </xf>
    <xf numFmtId="165" fontId="5" fillId="0" borderId="53" xfId="58" applyNumberFormat="1" applyFont="1" applyFill="1" applyBorder="1" applyAlignment="1">
      <alignment horizontal="right"/>
      <protection/>
    </xf>
    <xf numFmtId="3" fontId="26" fillId="33" borderId="0" xfId="58" applyNumberFormat="1" applyFont="1" applyFill="1" applyBorder="1">
      <alignment/>
      <protection/>
    </xf>
    <xf numFmtId="3" fontId="28" fillId="33" borderId="52" xfId="58" applyNumberFormat="1" applyFont="1" applyFill="1" applyBorder="1">
      <alignment/>
      <protection/>
    </xf>
    <xf numFmtId="0" fontId="13" fillId="0" borderId="53" xfId="58" applyFont="1" applyFill="1" applyBorder="1">
      <alignment/>
      <protection/>
    </xf>
    <xf numFmtId="3" fontId="29" fillId="33" borderId="52" xfId="58" applyNumberFormat="1" applyFont="1" applyFill="1" applyBorder="1">
      <alignment/>
      <protection/>
    </xf>
    <xf numFmtId="3" fontId="25" fillId="33" borderId="53" xfId="58" applyNumberFormat="1" applyFont="1" applyFill="1" applyBorder="1">
      <alignment/>
      <protection/>
    </xf>
    <xf numFmtId="0" fontId="24" fillId="33" borderId="53" xfId="58" applyFont="1" applyFill="1" applyBorder="1">
      <alignment/>
      <protection/>
    </xf>
    <xf numFmtId="0" fontId="20" fillId="33" borderId="53" xfId="58" applyFont="1" applyFill="1" applyBorder="1">
      <alignment/>
      <protection/>
    </xf>
    <xf numFmtId="3" fontId="30" fillId="33" borderId="52" xfId="58" applyNumberFormat="1" applyFont="1" applyFill="1" applyBorder="1">
      <alignment/>
      <protection/>
    </xf>
    <xf numFmtId="3" fontId="24" fillId="33" borderId="53" xfId="58" applyNumberFormat="1" applyFont="1" applyFill="1" applyBorder="1">
      <alignment/>
      <protection/>
    </xf>
    <xf numFmtId="3" fontId="2" fillId="33" borderId="52" xfId="58" applyNumberFormat="1" applyFont="1" applyFill="1" applyBorder="1">
      <alignment/>
      <protection/>
    </xf>
    <xf numFmtId="3" fontId="31" fillId="33" borderId="53" xfId="58" applyNumberFormat="1" applyFont="1" applyFill="1" applyBorder="1">
      <alignment/>
      <protection/>
    </xf>
    <xf numFmtId="3" fontId="24" fillId="33" borderId="59" xfId="58" applyNumberFormat="1" applyFont="1" applyFill="1" applyBorder="1">
      <alignment/>
      <protection/>
    </xf>
    <xf numFmtId="0" fontId="32" fillId="33" borderId="0" xfId="58" applyFont="1" applyFill="1" applyBorder="1">
      <alignment/>
      <protection/>
    </xf>
    <xf numFmtId="3" fontId="32" fillId="33" borderId="0" xfId="58" applyNumberFormat="1" applyFont="1" applyFill="1" applyBorder="1">
      <alignment/>
      <protection/>
    </xf>
    <xf numFmtId="3" fontId="25" fillId="33" borderId="59" xfId="58" applyNumberFormat="1" applyFont="1" applyFill="1" applyBorder="1">
      <alignment/>
      <protection/>
    </xf>
    <xf numFmtId="3" fontId="25" fillId="0" borderId="52" xfId="58" applyNumberFormat="1" applyFont="1" applyFill="1" applyBorder="1">
      <alignment/>
      <protection/>
    </xf>
    <xf numFmtId="3" fontId="31" fillId="33" borderId="59" xfId="58" applyNumberFormat="1" applyFont="1" applyFill="1" applyBorder="1">
      <alignment/>
      <protection/>
    </xf>
    <xf numFmtId="3" fontId="33" fillId="33" borderId="61" xfId="58" applyNumberFormat="1" applyFont="1" applyFill="1" applyBorder="1">
      <alignment/>
      <protection/>
    </xf>
    <xf numFmtId="49" fontId="3" fillId="0" borderId="52" xfId="58" applyNumberFormat="1" applyFont="1" applyFill="1" applyBorder="1" applyAlignment="1">
      <alignment horizontal="center"/>
      <protection/>
    </xf>
    <xf numFmtId="0" fontId="3" fillId="0" borderId="59" xfId="58" applyFont="1" applyFill="1" applyBorder="1">
      <alignment/>
      <protection/>
    </xf>
    <xf numFmtId="3" fontId="3" fillId="0" borderId="60" xfId="58" applyNumberFormat="1" applyFont="1" applyFill="1" applyBorder="1" applyAlignment="1">
      <alignment horizontal="center" shrinkToFit="1"/>
      <protection/>
    </xf>
    <xf numFmtId="3" fontId="3" fillId="0" borderId="52" xfId="58" applyNumberFormat="1" applyFont="1" applyFill="1" applyBorder="1">
      <alignment/>
      <protection/>
    </xf>
    <xf numFmtId="3" fontId="26" fillId="0" borderId="54" xfId="58" applyNumberFormat="1" applyFont="1" applyFill="1" applyBorder="1">
      <alignment/>
      <protection/>
    </xf>
    <xf numFmtId="3" fontId="5" fillId="33" borderId="0" xfId="58" applyNumberFormat="1" applyFont="1" applyFill="1" applyBorder="1" applyAlignment="1">
      <alignment horizontal="left"/>
      <protection/>
    </xf>
    <xf numFmtId="3" fontId="27" fillId="0" borderId="61" xfId="58" applyNumberFormat="1" applyFont="1" applyFill="1" applyBorder="1">
      <alignment/>
      <protection/>
    </xf>
    <xf numFmtId="3" fontId="16" fillId="33" borderId="0" xfId="58" applyNumberFormat="1" applyFont="1" applyFill="1" applyBorder="1" applyAlignment="1">
      <alignment horizontal="right"/>
      <protection/>
    </xf>
    <xf numFmtId="0" fontId="26" fillId="33" borderId="0" xfId="58" applyFont="1" applyFill="1" applyBorder="1">
      <alignment/>
      <protection/>
    </xf>
    <xf numFmtId="3" fontId="17" fillId="0" borderId="61" xfId="58" applyNumberFormat="1" applyFont="1" applyFill="1" applyBorder="1">
      <alignment/>
      <protection/>
    </xf>
    <xf numFmtId="3" fontId="3" fillId="0" borderId="54" xfId="58" applyNumberFormat="1" applyFont="1" applyFill="1" applyBorder="1">
      <alignment/>
      <protection/>
    </xf>
    <xf numFmtId="3" fontId="2" fillId="33" borderId="23" xfId="58" applyNumberFormat="1" applyFont="1" applyFill="1" applyBorder="1">
      <alignment/>
      <protection/>
    </xf>
    <xf numFmtId="3" fontId="8" fillId="33" borderId="23" xfId="58" applyNumberFormat="1" applyFont="1" applyFill="1" applyBorder="1">
      <alignment/>
      <protection/>
    </xf>
    <xf numFmtId="3" fontId="8" fillId="33" borderId="64" xfId="58" applyNumberFormat="1" applyFont="1" applyFill="1" applyBorder="1">
      <alignment/>
      <protection/>
    </xf>
    <xf numFmtId="3" fontId="8" fillId="33" borderId="57" xfId="58" applyNumberFormat="1" applyFont="1" applyFill="1" applyBorder="1">
      <alignment/>
      <protection/>
    </xf>
    <xf numFmtId="3" fontId="3" fillId="0" borderId="51" xfId="58" applyNumberFormat="1" applyFont="1" applyFill="1" applyBorder="1">
      <alignment/>
      <protection/>
    </xf>
    <xf numFmtId="3" fontId="5" fillId="0" borderId="34" xfId="58" applyNumberFormat="1" applyFont="1" applyFill="1" applyBorder="1" applyAlignment="1">
      <alignment horizontal="right"/>
      <protection/>
    </xf>
    <xf numFmtId="165" fontId="5" fillId="0" borderId="24" xfId="58" applyNumberFormat="1" applyFont="1" applyFill="1" applyBorder="1" applyAlignment="1">
      <alignment horizontal="right"/>
      <protection/>
    </xf>
    <xf numFmtId="3" fontId="8" fillId="33" borderId="61" xfId="58" applyNumberFormat="1" applyFont="1" applyFill="1" applyBorder="1">
      <alignment/>
      <protection/>
    </xf>
    <xf numFmtId="3" fontId="2" fillId="33" borderId="58" xfId="58" applyNumberFormat="1" applyFont="1" applyFill="1" applyBorder="1">
      <alignment/>
      <protection/>
    </xf>
    <xf numFmtId="3" fontId="19" fillId="33" borderId="70" xfId="58" applyNumberFormat="1" applyFont="1" applyFill="1" applyBorder="1">
      <alignment/>
      <protection/>
    </xf>
    <xf numFmtId="3" fontId="8" fillId="33" borderId="69" xfId="58" applyNumberFormat="1" applyFont="1" applyFill="1" applyBorder="1">
      <alignment/>
      <protection/>
    </xf>
    <xf numFmtId="3" fontId="19" fillId="33" borderId="53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5" fillId="0" borderId="21" xfId="58" applyNumberFormat="1" applyFont="1" applyFill="1" applyBorder="1" applyAlignment="1">
      <alignment horizontal="right"/>
      <protection/>
    </xf>
    <xf numFmtId="3" fontId="19" fillId="33" borderId="59" xfId="58" applyNumberFormat="1" applyFont="1" applyFill="1" applyBorder="1">
      <alignment/>
      <protection/>
    </xf>
    <xf numFmtId="3" fontId="30" fillId="33" borderId="53" xfId="58" applyNumberFormat="1" applyFont="1" applyFill="1" applyBorder="1">
      <alignment/>
      <protection/>
    </xf>
    <xf numFmtId="3" fontId="5" fillId="33" borderId="54" xfId="58" applyNumberFormat="1" applyFont="1" applyFill="1" applyBorder="1">
      <alignment/>
      <protection/>
    </xf>
    <xf numFmtId="3" fontId="5" fillId="33" borderId="63" xfId="58" applyNumberFormat="1" applyFont="1" applyFill="1" applyBorder="1">
      <alignment/>
      <protection/>
    </xf>
    <xf numFmtId="3" fontId="7" fillId="33" borderId="59" xfId="58" applyNumberFormat="1" applyFont="1" applyFill="1" applyBorder="1">
      <alignment/>
      <protection/>
    </xf>
    <xf numFmtId="49" fontId="26" fillId="33" borderId="52" xfId="58" applyNumberFormat="1" applyFont="1" applyFill="1" applyBorder="1" applyAlignment="1">
      <alignment horizontal="center"/>
      <protection/>
    </xf>
    <xf numFmtId="0" fontId="26" fillId="33" borderId="59" xfId="58" applyFont="1" applyFill="1" applyBorder="1">
      <alignment/>
      <protection/>
    </xf>
    <xf numFmtId="3" fontId="26" fillId="33" borderId="60" xfId="58" applyNumberFormat="1" applyFont="1" applyFill="1" applyBorder="1" applyAlignment="1">
      <alignment horizontal="center" shrinkToFit="1"/>
      <protection/>
    </xf>
    <xf numFmtId="3" fontId="26" fillId="33" borderId="52" xfId="58" applyNumberFormat="1" applyFont="1" applyFill="1" applyBorder="1">
      <alignment/>
      <protection/>
    </xf>
    <xf numFmtId="3" fontId="26" fillId="33" borderId="54" xfId="58" applyNumberFormat="1" applyFont="1" applyFill="1" applyBorder="1">
      <alignment/>
      <protection/>
    </xf>
    <xf numFmtId="49" fontId="13" fillId="34" borderId="52" xfId="58" applyNumberFormat="1" applyFont="1" applyFill="1" applyBorder="1" applyAlignment="1">
      <alignment horizontal="center"/>
      <protection/>
    </xf>
    <xf numFmtId="3" fontId="21" fillId="34" borderId="52" xfId="58" applyNumberFormat="1" applyFont="1" applyFill="1" applyBorder="1">
      <alignment/>
      <protection/>
    </xf>
    <xf numFmtId="3" fontId="13" fillId="34" borderId="59" xfId="58" applyNumberFormat="1" applyFont="1" applyFill="1" applyBorder="1">
      <alignment/>
      <protection/>
    </xf>
    <xf numFmtId="3" fontId="23" fillId="34" borderId="52" xfId="58" applyNumberFormat="1" applyFont="1" applyFill="1" applyBorder="1">
      <alignment/>
      <protection/>
    </xf>
    <xf numFmtId="3" fontId="13" fillId="34" borderId="54" xfId="58" applyNumberFormat="1" applyFont="1" applyFill="1" applyBorder="1">
      <alignment/>
      <protection/>
    </xf>
    <xf numFmtId="3" fontId="13" fillId="33" borderId="63" xfId="58" applyNumberFormat="1" applyFont="1" applyFill="1" applyBorder="1">
      <alignment/>
      <protection/>
    </xf>
    <xf numFmtId="3" fontId="13" fillId="33" borderId="53" xfId="58" applyNumberFormat="1" applyFont="1" applyFill="1" applyBorder="1">
      <alignment/>
      <protection/>
    </xf>
    <xf numFmtId="0" fontId="13" fillId="0" borderId="0" xfId="58" applyFont="1" applyFill="1">
      <alignment/>
      <protection/>
    </xf>
    <xf numFmtId="3" fontId="5" fillId="33" borderId="59" xfId="58" applyNumberFormat="1" applyFont="1" applyFill="1" applyBorder="1">
      <alignment/>
      <protection/>
    </xf>
    <xf numFmtId="3" fontId="5" fillId="33" borderId="52" xfId="58" applyNumberFormat="1" applyFont="1" applyFill="1" applyBorder="1">
      <alignment/>
      <protection/>
    </xf>
    <xf numFmtId="3" fontId="26" fillId="33" borderId="59" xfId="58" applyNumberFormat="1" applyFont="1" applyFill="1" applyBorder="1">
      <alignment/>
      <protection/>
    </xf>
    <xf numFmtId="3" fontId="26" fillId="33" borderId="58" xfId="58" applyNumberFormat="1" applyFont="1" applyFill="1" applyBorder="1">
      <alignment/>
      <protection/>
    </xf>
    <xf numFmtId="0" fontId="26" fillId="33" borderId="0" xfId="58" applyFont="1" applyFill="1">
      <alignment/>
      <protection/>
    </xf>
    <xf numFmtId="3" fontId="3" fillId="35" borderId="23" xfId="58" applyNumberFormat="1" applyFont="1" applyFill="1" applyBorder="1">
      <alignment/>
      <protection/>
    </xf>
    <xf numFmtId="3" fontId="3" fillId="35" borderId="51" xfId="58" applyNumberFormat="1" applyFont="1" applyFill="1" applyBorder="1">
      <alignment/>
      <protection/>
    </xf>
    <xf numFmtId="3" fontId="18" fillId="0" borderId="60" xfId="58" applyNumberFormat="1" applyFont="1" applyFill="1" applyBorder="1">
      <alignment/>
      <protection/>
    </xf>
    <xf numFmtId="3" fontId="3" fillId="0" borderId="60" xfId="58" applyNumberFormat="1" applyFont="1" applyFill="1" applyBorder="1">
      <alignment/>
      <protection/>
    </xf>
    <xf numFmtId="3" fontId="3" fillId="0" borderId="61" xfId="58" applyNumberFormat="1" applyFont="1" applyFill="1" applyBorder="1">
      <alignment/>
      <protection/>
    </xf>
    <xf numFmtId="3" fontId="3" fillId="0" borderId="59" xfId="58" applyNumberFormat="1" applyFont="1" applyFill="1" applyBorder="1">
      <alignment/>
      <protection/>
    </xf>
    <xf numFmtId="3" fontId="3" fillId="35" borderId="60" xfId="58" applyNumberFormat="1" applyFont="1" applyFill="1" applyBorder="1">
      <alignment/>
      <protection/>
    </xf>
    <xf numFmtId="3" fontId="3" fillId="35" borderId="54" xfId="58" applyNumberFormat="1" applyFont="1" applyFill="1" applyBorder="1">
      <alignment/>
      <protection/>
    </xf>
    <xf numFmtId="3" fontId="18" fillId="0" borderId="68" xfId="58" applyNumberFormat="1" applyFont="1" applyFill="1" applyBorder="1">
      <alignment/>
      <protection/>
    </xf>
    <xf numFmtId="3" fontId="3" fillId="0" borderId="68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35" borderId="68" xfId="58" applyNumberFormat="1" applyFont="1" applyFill="1" applyBorder="1">
      <alignment/>
      <protection/>
    </xf>
    <xf numFmtId="3" fontId="3" fillId="35" borderId="73" xfId="58" applyNumberFormat="1" applyFont="1" applyFill="1" applyBorder="1">
      <alignment/>
      <protection/>
    </xf>
    <xf numFmtId="3" fontId="18" fillId="0" borderId="52" xfId="58" applyNumberFormat="1" applyFont="1" applyFill="1" applyBorder="1">
      <alignment/>
      <protection/>
    </xf>
    <xf numFmtId="3" fontId="8" fillId="0" borderId="54" xfId="58" applyNumberFormat="1" applyFont="1" applyFill="1" applyBorder="1">
      <alignment/>
      <protection/>
    </xf>
    <xf numFmtId="165" fontId="5" fillId="0" borderId="0" xfId="58" applyNumberFormat="1" applyFont="1" applyFill="1" applyBorder="1" applyAlignment="1">
      <alignment horizontal="left"/>
      <protection/>
    </xf>
    <xf numFmtId="3" fontId="8" fillId="0" borderId="53" xfId="58" applyNumberFormat="1" applyFont="1" applyFill="1" applyBorder="1">
      <alignment/>
      <protection/>
    </xf>
    <xf numFmtId="3" fontId="7" fillId="33" borderId="53" xfId="58" applyNumberFormat="1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8" fillId="0" borderId="0" xfId="58" applyFont="1" applyFill="1">
      <alignment/>
      <protection/>
    </xf>
    <xf numFmtId="0" fontId="3" fillId="0" borderId="52" xfId="58" applyFont="1" applyFill="1" applyBorder="1">
      <alignment/>
      <protection/>
    </xf>
    <xf numFmtId="3" fontId="34" fillId="0" borderId="61" xfId="58" applyNumberFormat="1" applyFont="1" applyFill="1" applyBorder="1">
      <alignment/>
      <protection/>
    </xf>
    <xf numFmtId="3" fontId="2" fillId="0" borderId="52" xfId="58" applyNumberFormat="1" applyFont="1" applyFill="1" applyBorder="1">
      <alignment/>
      <protection/>
    </xf>
    <xf numFmtId="3" fontId="3" fillId="0" borderId="54" xfId="58" applyNumberFormat="1" applyFont="1" applyFill="1" applyBorder="1" applyAlignment="1">
      <alignment horizontal="right"/>
      <protection/>
    </xf>
    <xf numFmtId="3" fontId="8" fillId="0" borderId="23" xfId="58" applyNumberFormat="1" applyFont="1" applyFill="1" applyBorder="1">
      <alignment/>
      <protection/>
    </xf>
    <xf numFmtId="3" fontId="3" fillId="0" borderId="57" xfId="58" applyNumberFormat="1" applyFont="1" applyFill="1" applyBorder="1">
      <alignment/>
      <protection/>
    </xf>
    <xf numFmtId="3" fontId="3" fillId="0" borderId="50" xfId="58" applyNumberFormat="1" applyFont="1" applyFill="1" applyBorder="1">
      <alignment/>
      <protection/>
    </xf>
    <xf numFmtId="3" fontId="3" fillId="33" borderId="51" xfId="58" applyNumberFormat="1" applyFont="1" applyFill="1" applyBorder="1">
      <alignment/>
      <protection/>
    </xf>
    <xf numFmtId="3" fontId="26" fillId="33" borderId="62" xfId="58" applyNumberFormat="1" applyFont="1" applyFill="1" applyBorder="1">
      <alignment/>
      <protection/>
    </xf>
    <xf numFmtId="3" fontId="26" fillId="33" borderId="61" xfId="58" applyNumberFormat="1" applyFont="1" applyFill="1" applyBorder="1">
      <alignment/>
      <protection/>
    </xf>
    <xf numFmtId="3" fontId="5" fillId="0" borderId="54" xfId="58" applyNumberFormat="1" applyFont="1" applyFill="1" applyBorder="1" applyAlignment="1">
      <alignment horizontal="right"/>
      <protection/>
    </xf>
    <xf numFmtId="3" fontId="26" fillId="33" borderId="60" xfId="58" applyNumberFormat="1" applyFont="1" applyFill="1" applyBorder="1">
      <alignment/>
      <protection/>
    </xf>
    <xf numFmtId="0" fontId="26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3" fontId="3" fillId="0" borderId="53" xfId="58" applyNumberFormat="1" applyFont="1" applyFill="1" applyBorder="1">
      <alignment/>
      <protection/>
    </xf>
    <xf numFmtId="3" fontId="28" fillId="0" borderId="52" xfId="58" applyNumberFormat="1" applyFont="1" applyFill="1" applyBorder="1">
      <alignment/>
      <protection/>
    </xf>
    <xf numFmtId="3" fontId="26" fillId="0" borderId="53" xfId="58" applyNumberFormat="1" applyFont="1" applyFill="1" applyBorder="1">
      <alignment/>
      <protection/>
    </xf>
    <xf numFmtId="3" fontId="26" fillId="0" borderId="59" xfId="58" applyNumberFormat="1" applyFont="1" applyFill="1" applyBorder="1">
      <alignment/>
      <protection/>
    </xf>
    <xf numFmtId="0" fontId="26" fillId="0" borderId="0" xfId="58" applyFont="1" applyFill="1">
      <alignment/>
      <protection/>
    </xf>
    <xf numFmtId="3" fontId="3" fillId="33" borderId="0" xfId="58" applyNumberFormat="1" applyFont="1" applyFill="1" applyBorder="1" applyAlignment="1">
      <alignment/>
      <protection/>
    </xf>
    <xf numFmtId="3" fontId="7" fillId="33" borderId="0" xfId="58" applyNumberFormat="1" applyFont="1" applyFill="1" applyBorder="1" applyAlignment="1">
      <alignment horizontal="left"/>
      <protection/>
    </xf>
    <xf numFmtId="3" fontId="15" fillId="33" borderId="53" xfId="58" applyNumberFormat="1" applyFont="1" applyFill="1" applyBorder="1">
      <alignment/>
      <protection/>
    </xf>
    <xf numFmtId="3" fontId="8" fillId="33" borderId="58" xfId="58" applyNumberFormat="1" applyFont="1" applyFill="1" applyBorder="1">
      <alignment/>
      <protection/>
    </xf>
    <xf numFmtId="3" fontId="34" fillId="33" borderId="61" xfId="58" applyNumberFormat="1" applyFont="1" applyFill="1" applyBorder="1">
      <alignment/>
      <protection/>
    </xf>
    <xf numFmtId="3" fontId="21" fillId="34" borderId="13" xfId="58" applyNumberFormat="1" applyFont="1" applyFill="1" applyBorder="1">
      <alignment/>
      <protection/>
    </xf>
    <xf numFmtId="3" fontId="13" fillId="34" borderId="63" xfId="58" applyNumberFormat="1" applyFont="1" applyFill="1" applyBorder="1">
      <alignment/>
      <protection/>
    </xf>
    <xf numFmtId="3" fontId="13" fillId="34" borderId="13" xfId="58" applyNumberFormat="1" applyFont="1" applyFill="1" applyBorder="1">
      <alignment/>
      <protection/>
    </xf>
    <xf numFmtId="3" fontId="13" fillId="34" borderId="15" xfId="58" applyNumberFormat="1" applyFont="1" applyFill="1" applyBorder="1">
      <alignment/>
      <protection/>
    </xf>
    <xf numFmtId="3" fontId="13" fillId="33" borderId="15" xfId="58" applyNumberFormat="1" applyFont="1" applyFill="1" applyBorder="1">
      <alignment/>
      <protection/>
    </xf>
    <xf numFmtId="3" fontId="13" fillId="33" borderId="14" xfId="58" applyNumberFormat="1" applyFont="1" applyFill="1" applyBorder="1">
      <alignment/>
      <protection/>
    </xf>
    <xf numFmtId="3" fontId="13" fillId="33" borderId="13" xfId="58" applyNumberFormat="1" applyFont="1" applyFill="1" applyBorder="1">
      <alignment/>
      <protection/>
    </xf>
    <xf numFmtId="3" fontId="5" fillId="33" borderId="24" xfId="58" applyNumberFormat="1" applyFont="1" applyFill="1" applyBorder="1" applyAlignment="1">
      <alignment horizontal="right"/>
      <protection/>
    </xf>
    <xf numFmtId="49" fontId="3" fillId="33" borderId="52" xfId="58" applyNumberFormat="1" applyFont="1" applyFill="1" applyBorder="1" applyAlignment="1">
      <alignment horizontal="left"/>
      <protection/>
    </xf>
    <xf numFmtId="49" fontId="13" fillId="33" borderId="52" xfId="58" applyNumberFormat="1" applyFont="1" applyFill="1" applyBorder="1" applyAlignment="1">
      <alignment horizontal="center"/>
      <protection/>
    </xf>
    <xf numFmtId="0" fontId="13" fillId="33" borderId="59" xfId="58" applyFont="1" applyFill="1" applyBorder="1">
      <alignment/>
      <protection/>
    </xf>
    <xf numFmtId="3" fontId="13" fillId="33" borderId="60" xfId="58" applyNumberFormat="1" applyFont="1" applyFill="1" applyBorder="1" applyAlignment="1">
      <alignment horizontal="center" shrinkToFit="1"/>
      <protection/>
    </xf>
    <xf numFmtId="3" fontId="14" fillId="33" borderId="61" xfId="58" applyNumberFormat="1" applyFont="1" applyFill="1" applyBorder="1">
      <alignment/>
      <protection/>
    </xf>
    <xf numFmtId="3" fontId="21" fillId="33" borderId="52" xfId="58" applyNumberFormat="1" applyFont="1" applyFill="1" applyBorder="1">
      <alignment/>
      <protection/>
    </xf>
    <xf numFmtId="3" fontId="13" fillId="33" borderId="59" xfId="58" applyNumberFormat="1" applyFont="1" applyFill="1" applyBorder="1">
      <alignment/>
      <protection/>
    </xf>
    <xf numFmtId="3" fontId="13" fillId="33" borderId="52" xfId="58" applyNumberFormat="1" applyFont="1" applyFill="1" applyBorder="1">
      <alignment/>
      <protection/>
    </xf>
    <xf numFmtId="3" fontId="13" fillId="33" borderId="54" xfId="58" applyNumberFormat="1" applyFont="1" applyFill="1" applyBorder="1">
      <alignment/>
      <protection/>
    </xf>
    <xf numFmtId="0" fontId="13" fillId="35" borderId="0" xfId="58" applyFont="1" applyFill="1" applyBorder="1">
      <alignment/>
      <protection/>
    </xf>
    <xf numFmtId="0" fontId="26" fillId="35" borderId="0" xfId="58" applyFont="1" applyFill="1" applyBorder="1">
      <alignment/>
      <protection/>
    </xf>
    <xf numFmtId="3" fontId="5" fillId="33" borderId="59" xfId="58" applyNumberFormat="1" applyFont="1" applyFill="1" applyBorder="1">
      <alignment/>
      <protection/>
    </xf>
    <xf numFmtId="0" fontId="5" fillId="0" borderId="0" xfId="58" applyFont="1" applyFill="1">
      <alignment/>
      <protection/>
    </xf>
    <xf numFmtId="3" fontId="5" fillId="0" borderId="74" xfId="58" applyNumberFormat="1" applyFont="1" applyFill="1" applyBorder="1" applyAlignment="1">
      <alignment horizontal="right"/>
      <protection/>
    </xf>
    <xf numFmtId="49" fontId="5" fillId="34" borderId="52" xfId="58" applyNumberFormat="1" applyFont="1" applyFill="1" applyBorder="1" applyAlignment="1">
      <alignment horizontal="center"/>
      <protection/>
    </xf>
    <xf numFmtId="0" fontId="5" fillId="34" borderId="59" xfId="58" applyFont="1" applyFill="1" applyBorder="1">
      <alignment/>
      <protection/>
    </xf>
    <xf numFmtId="3" fontId="5" fillId="34" borderId="60" xfId="58" applyNumberFormat="1" applyFont="1" applyFill="1" applyBorder="1" applyAlignment="1">
      <alignment horizontal="center" shrinkToFit="1"/>
      <protection/>
    </xf>
    <xf numFmtId="3" fontId="12" fillId="34" borderId="61" xfId="58" applyNumberFormat="1" applyFont="1" applyFill="1" applyBorder="1">
      <alignment/>
      <protection/>
    </xf>
    <xf numFmtId="3" fontId="15" fillId="34" borderId="52" xfId="58" applyNumberFormat="1" applyFont="1" applyFill="1" applyBorder="1">
      <alignment/>
      <protection/>
    </xf>
    <xf numFmtId="3" fontId="5" fillId="34" borderId="53" xfId="58" applyNumberFormat="1" applyFont="1" applyFill="1" applyBorder="1">
      <alignment/>
      <protection/>
    </xf>
    <xf numFmtId="3" fontId="5" fillId="34" borderId="59" xfId="58" applyNumberFormat="1" applyFont="1" applyFill="1" applyBorder="1">
      <alignment/>
      <protection/>
    </xf>
    <xf numFmtId="3" fontId="5" fillId="34" borderId="52" xfId="58" applyNumberFormat="1" applyFont="1" applyFill="1" applyBorder="1">
      <alignment/>
      <protection/>
    </xf>
    <xf numFmtId="3" fontId="5" fillId="34" borderId="54" xfId="58" applyNumberFormat="1" applyFont="1" applyFill="1" applyBorder="1">
      <alignment/>
      <protection/>
    </xf>
    <xf numFmtId="49" fontId="5" fillId="34" borderId="66" xfId="58" applyNumberFormat="1" applyFont="1" applyFill="1" applyBorder="1" applyAlignment="1">
      <alignment horizontal="center"/>
      <protection/>
    </xf>
    <xf numFmtId="0" fontId="5" fillId="34" borderId="67" xfId="58" applyFont="1" applyFill="1" applyBorder="1">
      <alignment/>
      <protection/>
    </xf>
    <xf numFmtId="3" fontId="5" fillId="34" borderId="29" xfId="58" applyNumberFormat="1" applyFont="1" applyFill="1" applyBorder="1" applyAlignment="1">
      <alignment horizontal="center" shrinkToFit="1"/>
      <protection/>
    </xf>
    <xf numFmtId="3" fontId="12" fillId="34" borderId="69" xfId="58" applyNumberFormat="1" applyFont="1" applyFill="1" applyBorder="1">
      <alignment/>
      <protection/>
    </xf>
    <xf numFmtId="3" fontId="12" fillId="34" borderId="31" xfId="58" applyNumberFormat="1" applyFont="1" applyFill="1" applyBorder="1" applyAlignment="1">
      <alignment horizontal="right"/>
      <protection/>
    </xf>
    <xf numFmtId="3" fontId="12" fillId="34" borderId="75" xfId="58" applyNumberFormat="1" applyFont="1" applyFill="1" applyBorder="1" applyAlignment="1">
      <alignment horizontal="right"/>
      <protection/>
    </xf>
    <xf numFmtId="3" fontId="12" fillId="34" borderId="40" xfId="58" applyNumberFormat="1" applyFont="1" applyFill="1" applyBorder="1" applyAlignment="1">
      <alignment horizontal="right"/>
      <protection/>
    </xf>
    <xf numFmtId="3" fontId="5" fillId="34" borderId="76" xfId="58" applyNumberFormat="1" applyFont="1" applyFill="1" applyBorder="1" applyAlignment="1">
      <alignment horizontal="right"/>
      <protection/>
    </xf>
    <xf numFmtId="3" fontId="5" fillId="34" borderId="77" xfId="58" applyNumberFormat="1" applyFont="1" applyFill="1" applyBorder="1">
      <alignment/>
      <protection/>
    </xf>
    <xf numFmtId="3" fontId="5" fillId="34" borderId="40" xfId="58" applyNumberFormat="1" applyFont="1" applyFill="1" applyBorder="1">
      <alignment/>
      <protection/>
    </xf>
    <xf numFmtId="3" fontId="5" fillId="34" borderId="75" xfId="58" applyNumberFormat="1" applyFont="1" applyFill="1" applyBorder="1">
      <alignment/>
      <protection/>
    </xf>
    <xf numFmtId="3" fontId="5" fillId="34" borderId="75" xfId="58" applyNumberFormat="1" applyFont="1" applyFill="1" applyBorder="1" applyAlignment="1">
      <alignment horizontal="right"/>
      <protection/>
    </xf>
    <xf numFmtId="3" fontId="3" fillId="34" borderId="76" xfId="58" applyNumberFormat="1" applyFont="1" applyFill="1" applyBorder="1">
      <alignment/>
      <protection/>
    </xf>
    <xf numFmtId="3" fontId="5" fillId="33" borderId="78" xfId="58" applyNumberFormat="1" applyFont="1" applyFill="1" applyBorder="1">
      <alignment/>
      <protection/>
    </xf>
    <xf numFmtId="3" fontId="5" fillId="33" borderId="40" xfId="58" applyNumberFormat="1" applyFont="1" applyFill="1" applyBorder="1">
      <alignment/>
      <protection/>
    </xf>
    <xf numFmtId="3" fontId="5" fillId="33" borderId="40" xfId="58" applyNumberFormat="1" applyFont="1" applyFill="1" applyBorder="1" applyAlignment="1">
      <alignment horizontal="right"/>
      <protection/>
    </xf>
    <xf numFmtId="165" fontId="5" fillId="33" borderId="40" xfId="58" applyNumberFormat="1" applyFont="1" applyFill="1" applyBorder="1" applyAlignment="1">
      <alignment horizontal="right"/>
      <protection/>
    </xf>
    <xf numFmtId="49" fontId="5" fillId="33" borderId="36" xfId="58" applyNumberFormat="1" applyFont="1" applyFill="1" applyBorder="1" applyAlignment="1">
      <alignment horizontal="center"/>
      <protection/>
    </xf>
    <xf numFmtId="0" fontId="5" fillId="33" borderId="37" xfId="58" applyFont="1" applyFill="1" applyBorder="1">
      <alignment/>
      <protection/>
    </xf>
    <xf numFmtId="3" fontId="5" fillId="33" borderId="19" xfId="58" applyNumberFormat="1" applyFont="1" applyFill="1" applyBorder="1" applyAlignment="1">
      <alignment horizontal="center" shrinkToFit="1"/>
      <protection/>
    </xf>
    <xf numFmtId="3" fontId="12" fillId="33" borderId="18" xfId="58" applyNumberFormat="1" applyFont="1" applyFill="1" applyBorder="1">
      <alignment/>
      <protection/>
    </xf>
    <xf numFmtId="3" fontId="12" fillId="0" borderId="18" xfId="58" applyNumberFormat="1" applyFont="1" applyFill="1" applyBorder="1" applyAlignment="1">
      <alignment horizontal="right"/>
      <protection/>
    </xf>
    <xf numFmtId="3" fontId="5" fillId="33" borderId="33" xfId="58" applyNumberFormat="1" applyFont="1" applyFill="1" applyBorder="1">
      <alignment/>
      <protection/>
    </xf>
    <xf numFmtId="3" fontId="5" fillId="33" borderId="20" xfId="58" applyNumberFormat="1" applyFont="1" applyFill="1" applyBorder="1">
      <alignment/>
      <protection/>
    </xf>
    <xf numFmtId="3" fontId="5" fillId="33" borderId="45" xfId="58" applyNumberFormat="1" applyFont="1" applyFill="1" applyBorder="1">
      <alignment/>
      <protection/>
    </xf>
    <xf numFmtId="3" fontId="5" fillId="33" borderId="44" xfId="58" applyNumberFormat="1" applyFont="1" applyFill="1" applyBorder="1">
      <alignment/>
      <protection/>
    </xf>
    <xf numFmtId="165" fontId="35" fillId="33" borderId="0" xfId="58" applyNumberFormat="1" applyFont="1" applyFill="1" applyBorder="1" applyAlignment="1">
      <alignment horizontal="right"/>
      <protection/>
    </xf>
    <xf numFmtId="0" fontId="3" fillId="33" borderId="79" xfId="58" applyFont="1" applyFill="1" applyBorder="1">
      <alignment/>
      <protection/>
    </xf>
    <xf numFmtId="3" fontId="3" fillId="33" borderId="42" xfId="58" applyNumberFormat="1" applyFont="1" applyFill="1" applyBorder="1" applyAlignment="1">
      <alignment horizontal="center" shrinkToFit="1"/>
      <protection/>
    </xf>
    <xf numFmtId="0" fontId="12" fillId="33" borderId="42" xfId="58" applyFont="1" applyFill="1" applyBorder="1">
      <alignment/>
      <protection/>
    </xf>
    <xf numFmtId="3" fontId="5" fillId="33" borderId="41" xfId="58" applyNumberFormat="1" applyFont="1" applyFill="1" applyBorder="1">
      <alignment/>
      <protection/>
    </xf>
    <xf numFmtId="3" fontId="5" fillId="33" borderId="79" xfId="58" applyNumberFormat="1" applyFont="1" applyFill="1" applyBorder="1">
      <alignment/>
      <protection/>
    </xf>
    <xf numFmtId="3" fontId="5" fillId="33" borderId="42" xfId="58" applyNumberFormat="1" applyFont="1" applyFill="1" applyBorder="1">
      <alignment/>
      <protection/>
    </xf>
    <xf numFmtId="3" fontId="5" fillId="33" borderId="80" xfId="58" applyNumberFormat="1" applyFont="1" applyFill="1" applyBorder="1">
      <alignment/>
      <protection/>
    </xf>
    <xf numFmtId="3" fontId="5" fillId="33" borderId="15" xfId="58" applyNumberFormat="1" applyFont="1" applyFill="1" applyBorder="1">
      <alignment/>
      <protection/>
    </xf>
    <xf numFmtId="49" fontId="5" fillId="33" borderId="39" xfId="58" applyNumberFormat="1" applyFont="1" applyFill="1" applyBorder="1" applyAlignment="1">
      <alignment horizontal="center"/>
      <protection/>
    </xf>
    <xf numFmtId="0" fontId="5" fillId="33" borderId="46" xfId="58" applyFont="1" applyFill="1" applyBorder="1">
      <alignment/>
      <protection/>
    </xf>
    <xf numFmtId="3" fontId="5" fillId="33" borderId="47" xfId="58" applyNumberFormat="1" applyFont="1" applyFill="1" applyBorder="1" applyAlignment="1">
      <alignment horizontal="center" shrinkToFit="1"/>
      <protection/>
    </xf>
    <xf numFmtId="3" fontId="12" fillId="33" borderId="47" xfId="58" applyNumberFormat="1" applyFont="1" applyFill="1" applyBorder="1">
      <alignment/>
      <protection/>
    </xf>
    <xf numFmtId="3" fontId="5" fillId="33" borderId="47" xfId="58" applyNumberFormat="1" applyFont="1" applyFill="1" applyBorder="1">
      <alignment/>
      <protection/>
    </xf>
    <xf numFmtId="3" fontId="5" fillId="33" borderId="81" xfId="58" applyNumberFormat="1" applyFont="1" applyFill="1" applyBorder="1">
      <alignment/>
      <protection/>
    </xf>
    <xf numFmtId="3" fontId="5" fillId="33" borderId="57" xfId="58" applyNumberFormat="1" applyFont="1" applyFill="1" applyBorder="1">
      <alignment/>
      <protection/>
    </xf>
    <xf numFmtId="0" fontId="5" fillId="33" borderId="53" xfId="58" applyFont="1" applyFill="1" applyBorder="1">
      <alignment/>
      <protection/>
    </xf>
    <xf numFmtId="3" fontId="5" fillId="33" borderId="59" xfId="58" applyNumberFormat="1" applyFont="1" applyFill="1" applyBorder="1" applyAlignment="1">
      <alignment horizontal="center" shrinkToFit="1"/>
      <protection/>
    </xf>
    <xf numFmtId="3" fontId="12" fillId="33" borderId="59" xfId="58" applyNumberFormat="1" applyFont="1" applyFill="1" applyBorder="1">
      <alignment/>
      <protection/>
    </xf>
    <xf numFmtId="49" fontId="16" fillId="33" borderId="52" xfId="58" applyNumberFormat="1" applyFont="1" applyFill="1" applyBorder="1" applyAlignment="1">
      <alignment horizontal="center"/>
      <protection/>
    </xf>
    <xf numFmtId="0" fontId="19" fillId="33" borderId="53" xfId="58" applyFont="1" applyFill="1" applyBorder="1">
      <alignment/>
      <protection/>
    </xf>
    <xf numFmtId="3" fontId="19" fillId="33" borderId="59" xfId="58" applyNumberFormat="1" applyFont="1" applyFill="1" applyBorder="1" applyAlignment="1">
      <alignment horizontal="center" shrinkToFit="1"/>
      <protection/>
    </xf>
    <xf numFmtId="3" fontId="36" fillId="33" borderId="59" xfId="58" applyNumberFormat="1" applyFont="1" applyFill="1" applyBorder="1">
      <alignment/>
      <protection/>
    </xf>
    <xf numFmtId="3" fontId="19" fillId="33" borderId="52" xfId="58" applyNumberFormat="1" applyFont="1" applyFill="1" applyBorder="1">
      <alignment/>
      <protection/>
    </xf>
    <xf numFmtId="3" fontId="19" fillId="33" borderId="54" xfId="58" applyNumberFormat="1" applyFont="1" applyFill="1" applyBorder="1">
      <alignment/>
      <protection/>
    </xf>
    <xf numFmtId="3" fontId="19" fillId="33" borderId="63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3" fontId="5" fillId="33" borderId="56" xfId="58" applyNumberFormat="1" applyFont="1" applyFill="1" applyBorder="1">
      <alignment/>
      <protection/>
    </xf>
    <xf numFmtId="0" fontId="5" fillId="33" borderId="34" xfId="58" applyFont="1" applyFill="1" applyBorder="1">
      <alignment/>
      <protection/>
    </xf>
    <xf numFmtId="0" fontId="5" fillId="33" borderId="50" xfId="58" applyFont="1" applyFill="1" applyBorder="1">
      <alignment/>
      <protection/>
    </xf>
    <xf numFmtId="3" fontId="5" fillId="33" borderId="65" xfId="58" applyNumberFormat="1" applyFont="1" applyFill="1" applyBorder="1">
      <alignment/>
      <protection/>
    </xf>
    <xf numFmtId="3" fontId="5" fillId="33" borderId="34" xfId="58" applyNumberFormat="1" applyFont="1" applyFill="1" applyBorder="1">
      <alignment/>
      <protection/>
    </xf>
    <xf numFmtId="49" fontId="5" fillId="33" borderId="66" xfId="58" applyNumberFormat="1" applyFont="1" applyFill="1" applyBorder="1" applyAlignment="1">
      <alignment horizontal="center"/>
      <protection/>
    </xf>
    <xf numFmtId="0" fontId="5" fillId="33" borderId="21" xfId="58" applyFont="1" applyFill="1" applyBorder="1">
      <alignment/>
      <protection/>
    </xf>
    <xf numFmtId="3" fontId="5" fillId="33" borderId="67" xfId="58" applyNumberFormat="1" applyFont="1" applyFill="1" applyBorder="1" applyAlignment="1">
      <alignment horizontal="center" shrinkToFit="1"/>
      <protection/>
    </xf>
    <xf numFmtId="3" fontId="12" fillId="33" borderId="67" xfId="58" applyNumberFormat="1" applyFont="1" applyFill="1" applyBorder="1">
      <alignment/>
      <protection/>
    </xf>
    <xf numFmtId="3" fontId="12" fillId="0" borderId="31" xfId="58" applyNumberFormat="1" applyFont="1" applyFill="1" applyBorder="1" applyAlignment="1">
      <alignment horizontal="right"/>
      <protection/>
    </xf>
    <xf numFmtId="3" fontId="12" fillId="0" borderId="75" xfId="58" applyNumberFormat="1" applyFont="1" applyFill="1" applyBorder="1" applyAlignment="1">
      <alignment horizontal="right"/>
      <protection/>
    </xf>
    <xf numFmtId="3" fontId="12" fillId="0" borderId="40" xfId="58" applyNumberFormat="1" applyFont="1" applyFill="1" applyBorder="1" applyAlignment="1">
      <alignment horizontal="right"/>
      <protection/>
    </xf>
    <xf numFmtId="3" fontId="5" fillId="33" borderId="76" xfId="58" applyNumberFormat="1" applyFont="1" applyFill="1" applyBorder="1" applyAlignment="1">
      <alignment horizontal="right"/>
      <protection/>
    </xf>
    <xf numFmtId="0" fontId="16" fillId="33" borderId="67" xfId="58" applyFont="1" applyFill="1" applyBorder="1">
      <alignment/>
      <protection/>
    </xf>
    <xf numFmtId="0" fontId="5" fillId="33" borderId="67" xfId="58" applyFont="1" applyFill="1" applyBorder="1">
      <alignment/>
      <protection/>
    </xf>
    <xf numFmtId="3" fontId="5" fillId="33" borderId="72" xfId="58" applyNumberFormat="1" applyFont="1" applyFill="1" applyBorder="1">
      <alignment/>
      <protection/>
    </xf>
    <xf numFmtId="3" fontId="5" fillId="33" borderId="21" xfId="58" applyNumberFormat="1" applyFont="1" applyFill="1" applyBorder="1">
      <alignment/>
      <protection/>
    </xf>
    <xf numFmtId="0" fontId="5" fillId="33" borderId="35" xfId="58" applyFont="1" applyFill="1" applyBorder="1">
      <alignment/>
      <protection/>
    </xf>
    <xf numFmtId="3" fontId="5" fillId="33" borderId="37" xfId="58" applyNumberFormat="1" applyFont="1" applyFill="1" applyBorder="1">
      <alignment/>
      <protection/>
    </xf>
    <xf numFmtId="3" fontId="12" fillId="33" borderId="37" xfId="58" applyNumberFormat="1" applyFont="1" applyFill="1" applyBorder="1">
      <alignment/>
      <protection/>
    </xf>
    <xf numFmtId="3" fontId="5" fillId="33" borderId="36" xfId="58" applyNumberFormat="1" applyFont="1" applyFill="1" applyBorder="1">
      <alignment/>
      <protection/>
    </xf>
    <xf numFmtId="3" fontId="5" fillId="33" borderId="82" xfId="58" applyNumberFormat="1" applyFont="1" applyFill="1" applyBorder="1">
      <alignment/>
      <protection/>
    </xf>
    <xf numFmtId="3" fontId="5" fillId="33" borderId="38" xfId="58" applyNumberFormat="1" applyFont="1" applyFill="1" applyBorder="1">
      <alignment/>
      <protection/>
    </xf>
    <xf numFmtId="3" fontId="3" fillId="33" borderId="19" xfId="58" applyNumberFormat="1" applyFont="1" applyFill="1" applyBorder="1">
      <alignment/>
      <protection/>
    </xf>
    <xf numFmtId="49" fontId="5" fillId="33" borderId="13" xfId="58" applyNumberFormat="1" applyFont="1" applyFill="1" applyBorder="1" applyAlignment="1">
      <alignment horizontal="center"/>
      <protection/>
    </xf>
    <xf numFmtId="3" fontId="5" fillId="33" borderId="49" xfId="58" applyNumberFormat="1" applyFont="1" applyFill="1" applyBorder="1">
      <alignment/>
      <protection/>
    </xf>
    <xf numFmtId="3" fontId="12" fillId="33" borderId="49" xfId="58" applyNumberFormat="1" applyFont="1" applyFill="1" applyBorder="1">
      <alignment/>
      <protection/>
    </xf>
    <xf numFmtId="3" fontId="12" fillId="0" borderId="56" xfId="58" applyNumberFormat="1" applyFont="1" applyFill="1" applyBorder="1" applyAlignment="1">
      <alignment horizontal="right"/>
      <protection/>
    </xf>
    <xf numFmtId="3" fontId="5" fillId="33" borderId="51" xfId="58" applyNumberFormat="1" applyFont="1" applyFill="1" applyBorder="1">
      <alignment/>
      <protection/>
    </xf>
    <xf numFmtId="0" fontId="3" fillId="33" borderId="65" xfId="58" applyFont="1" applyFill="1" applyBorder="1">
      <alignment/>
      <protection/>
    </xf>
    <xf numFmtId="3" fontId="16" fillId="33" borderId="34" xfId="58" applyNumberFormat="1" applyFont="1" applyFill="1" applyBorder="1">
      <alignment/>
      <protection/>
    </xf>
    <xf numFmtId="3" fontId="12" fillId="33" borderId="58" xfId="58" applyNumberFormat="1" applyFont="1" applyFill="1" applyBorder="1">
      <alignment/>
      <protection/>
    </xf>
    <xf numFmtId="3" fontId="12" fillId="0" borderId="52" xfId="58" applyNumberFormat="1" applyFont="1" applyFill="1" applyBorder="1" applyAlignment="1">
      <alignment horizontal="right"/>
      <protection/>
    </xf>
    <xf numFmtId="3" fontId="3" fillId="0" borderId="0" xfId="58" applyNumberFormat="1" applyFont="1" applyFill="1">
      <alignment/>
      <protection/>
    </xf>
    <xf numFmtId="0" fontId="3" fillId="33" borderId="63" xfId="58" applyFont="1" applyFill="1" applyBorder="1">
      <alignment/>
      <protection/>
    </xf>
    <xf numFmtId="3" fontId="13" fillId="33" borderId="77" xfId="58" applyNumberFormat="1" applyFont="1" applyFill="1" applyBorder="1">
      <alignment/>
      <protection/>
    </xf>
    <xf numFmtId="3" fontId="13" fillId="33" borderId="31" xfId="58" applyNumberFormat="1" applyFont="1" applyFill="1" applyBorder="1">
      <alignment/>
      <protection/>
    </xf>
    <xf numFmtId="3" fontId="14" fillId="33" borderId="31" xfId="58" applyNumberFormat="1" applyFont="1" applyFill="1" applyBorder="1">
      <alignment/>
      <protection/>
    </xf>
    <xf numFmtId="3" fontId="14" fillId="33" borderId="83" xfId="58" applyNumberFormat="1" applyFont="1" applyFill="1" applyBorder="1">
      <alignment/>
      <protection/>
    </xf>
    <xf numFmtId="3" fontId="12" fillId="33" borderId="0" xfId="58" applyNumberFormat="1" applyFont="1" applyFill="1" applyBorder="1">
      <alignment/>
      <protection/>
    </xf>
    <xf numFmtId="3" fontId="5" fillId="33" borderId="10" xfId="58" applyNumberFormat="1" applyFont="1" applyFill="1" applyBorder="1">
      <alignment/>
      <protection/>
    </xf>
    <xf numFmtId="3" fontId="12" fillId="33" borderId="10" xfId="58" applyNumberFormat="1" applyFont="1" applyFill="1" applyBorder="1">
      <alignment/>
      <protection/>
    </xf>
    <xf numFmtId="3" fontId="12" fillId="0" borderId="77" xfId="58" applyNumberFormat="1" applyFont="1" applyFill="1" applyBorder="1" applyAlignment="1">
      <alignment horizontal="right"/>
      <protection/>
    </xf>
    <xf numFmtId="0" fontId="3" fillId="33" borderId="77" xfId="58" applyFont="1" applyFill="1" applyBorder="1">
      <alignment/>
      <protection/>
    </xf>
    <xf numFmtId="3" fontId="12" fillId="33" borderId="40" xfId="58" applyNumberFormat="1" applyFont="1" applyFill="1" applyBorder="1">
      <alignment/>
      <protection/>
    </xf>
    <xf numFmtId="49" fontId="5" fillId="0" borderId="13" xfId="58" applyNumberFormat="1" applyFont="1" applyFill="1" applyBorder="1" applyAlignment="1">
      <alignment horizontal="center"/>
      <protection/>
    </xf>
    <xf numFmtId="49" fontId="5" fillId="0" borderId="0" xfId="58" applyNumberFormat="1" applyFont="1" applyFill="1" applyBorder="1" applyAlignment="1">
      <alignment horizontal="center"/>
      <protection/>
    </xf>
    <xf numFmtId="0" fontId="6" fillId="33" borderId="0" xfId="58" applyFont="1" applyFill="1" applyBorder="1">
      <alignment/>
      <protection/>
    </xf>
    <xf numFmtId="3" fontId="8" fillId="0" borderId="0" xfId="58" applyNumberFormat="1" applyFont="1" applyFill="1" applyBorder="1">
      <alignment/>
      <protection/>
    </xf>
    <xf numFmtId="3" fontId="8" fillId="33" borderId="0" xfId="58" applyNumberFormat="1" applyFont="1" applyFill="1" applyBorder="1">
      <alignment/>
      <protection/>
    </xf>
    <xf numFmtId="0" fontId="8" fillId="33" borderId="0" xfId="58" applyFont="1" applyFill="1" applyBorder="1">
      <alignment/>
      <protection/>
    </xf>
    <xf numFmtId="3" fontId="19" fillId="33" borderId="0" xfId="58" applyNumberFormat="1" applyFont="1" applyFill="1" applyBorder="1">
      <alignment/>
      <protection/>
    </xf>
    <xf numFmtId="3" fontId="19" fillId="0" borderId="0" xfId="58" applyNumberFormat="1" applyFont="1" applyFill="1" applyBorder="1">
      <alignment/>
      <protection/>
    </xf>
    <xf numFmtId="49" fontId="3" fillId="0" borderId="0" xfId="58" applyNumberFormat="1" applyFont="1" applyFill="1">
      <alignment/>
      <protection/>
    </xf>
    <xf numFmtId="3" fontId="8" fillId="0" borderId="0" xfId="58" applyNumberFormat="1" applyFont="1" applyFill="1">
      <alignment/>
      <protection/>
    </xf>
    <xf numFmtId="3" fontId="24" fillId="33" borderId="0" xfId="58" applyNumberFormat="1" applyFont="1" applyFill="1" applyBorder="1">
      <alignment/>
      <protection/>
    </xf>
    <xf numFmtId="49" fontId="8" fillId="33" borderId="0" xfId="58" applyNumberFormat="1" applyFont="1" applyFill="1" applyBorder="1" applyAlignment="1">
      <alignment horizontal="left"/>
      <protection/>
    </xf>
    <xf numFmtId="0" fontId="5" fillId="33" borderId="0" xfId="58" applyFont="1" applyFill="1" applyBorder="1" applyAlignment="1">
      <alignment horizontal="center"/>
      <protection/>
    </xf>
    <xf numFmtId="0" fontId="24" fillId="33" borderId="0" xfId="58" applyFont="1" applyFill="1" applyBorder="1">
      <alignment/>
      <protection/>
    </xf>
    <xf numFmtId="49" fontId="8" fillId="33" borderId="0" xfId="58" applyNumberFormat="1" applyFont="1" applyFill="1" applyBorder="1">
      <alignment/>
      <protection/>
    </xf>
    <xf numFmtId="3" fontId="8" fillId="33" borderId="0" xfId="58" applyNumberFormat="1" applyFont="1" applyFill="1" applyBorder="1" applyAlignment="1">
      <alignment horizontal="center"/>
      <protection/>
    </xf>
    <xf numFmtId="165" fontId="3" fillId="33" borderId="0" xfId="58" applyNumberFormat="1" applyFont="1" applyFill="1" applyBorder="1">
      <alignment/>
      <protection/>
    </xf>
    <xf numFmtId="49" fontId="3" fillId="33" borderId="0" xfId="58" applyNumberFormat="1" applyFont="1" applyFill="1" applyBorder="1" applyAlignment="1">
      <alignment horizontal="center"/>
      <protection/>
    </xf>
    <xf numFmtId="0" fontId="3" fillId="33" borderId="0" xfId="58" applyFont="1" applyFill="1" applyBorder="1" applyAlignment="1">
      <alignment/>
      <protection/>
    </xf>
    <xf numFmtId="4" fontId="8" fillId="33" borderId="0" xfId="58" applyNumberFormat="1" applyFont="1" applyFill="1" applyBorder="1">
      <alignment/>
      <protection/>
    </xf>
    <xf numFmtId="3" fontId="25" fillId="33" borderId="0" xfId="58" applyNumberFormat="1" applyFont="1" applyFill="1" applyBorder="1">
      <alignment/>
      <protection/>
    </xf>
    <xf numFmtId="49" fontId="19" fillId="33" borderId="0" xfId="58" applyNumberFormat="1" applyFont="1" applyFill="1" applyBorder="1" applyAlignment="1">
      <alignment horizontal="center"/>
      <protection/>
    </xf>
    <xf numFmtId="0" fontId="19" fillId="33" borderId="0" xfId="58" applyFont="1" applyFill="1" applyBorder="1" applyAlignment="1">
      <alignment horizontal="center"/>
      <protection/>
    </xf>
    <xf numFmtId="165" fontId="8" fillId="33" borderId="0" xfId="58" applyNumberFormat="1" applyFont="1" applyFill="1" applyBorder="1">
      <alignment/>
      <protection/>
    </xf>
    <xf numFmtId="49" fontId="8" fillId="33" borderId="0" xfId="58" applyNumberFormat="1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48" fillId="0" borderId="0" xfId="57" applyFont="1">
      <alignment/>
      <protection/>
    </xf>
    <xf numFmtId="0" fontId="39" fillId="0" borderId="0" xfId="57" applyFont="1" applyAlignment="1">
      <alignment horizontal="right"/>
      <protection/>
    </xf>
    <xf numFmtId="0" fontId="49" fillId="0" borderId="0" xfId="57" applyFont="1">
      <alignment/>
      <protection/>
    </xf>
    <xf numFmtId="0" fontId="49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50" fillId="0" borderId="0" xfId="57" applyFont="1" applyAlignment="1">
      <alignment horizontal="right"/>
      <protection/>
    </xf>
    <xf numFmtId="0" fontId="40" fillId="0" borderId="0" xfId="57" applyFont="1">
      <alignment/>
      <protection/>
    </xf>
    <xf numFmtId="0" fontId="39" fillId="0" borderId="0" xfId="57" applyFont="1" applyAlignment="1">
      <alignment horizontal="left"/>
      <protection/>
    </xf>
    <xf numFmtId="0" fontId="39" fillId="0" borderId="0" xfId="57" applyFont="1">
      <alignment/>
      <protection/>
    </xf>
    <xf numFmtId="0" fontId="2" fillId="0" borderId="0" xfId="57" applyFont="1">
      <alignment/>
      <protection/>
    </xf>
    <xf numFmtId="0" fontId="40" fillId="0" borderId="0" xfId="57" applyFont="1" applyBorder="1" applyAlignment="1">
      <alignment horizontal="right"/>
      <protection/>
    </xf>
    <xf numFmtId="0" fontId="40" fillId="0" borderId="17" xfId="57" applyFont="1" applyBorder="1" applyAlignment="1">
      <alignment horizontal="left"/>
      <protection/>
    </xf>
    <xf numFmtId="164" fontId="40" fillId="0" borderId="42" xfId="57" applyNumberFormat="1" applyFont="1" applyBorder="1">
      <alignment/>
      <protection/>
    </xf>
    <xf numFmtId="0" fontId="40" fillId="0" borderId="16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0" fillId="0" borderId="74" xfId="57" applyFont="1" applyBorder="1">
      <alignment/>
      <protection/>
    </xf>
    <xf numFmtId="0" fontId="40" fillId="0" borderId="14" xfId="57" applyFont="1" applyBorder="1" applyAlignment="1">
      <alignment horizontal="center"/>
      <protection/>
    </xf>
    <xf numFmtId="0" fontId="40" fillId="0" borderId="11" xfId="57" applyFont="1" applyBorder="1">
      <alignment/>
      <protection/>
    </xf>
    <xf numFmtId="0" fontId="40" fillId="0" borderId="44" xfId="57" applyFont="1" applyBorder="1" applyAlignment="1">
      <alignment horizontal="center"/>
      <protection/>
    </xf>
    <xf numFmtId="0" fontId="40" fillId="0" borderId="28" xfId="57" applyFont="1" applyBorder="1" applyAlignment="1">
      <alignment horizontal="center"/>
      <protection/>
    </xf>
    <xf numFmtId="0" fontId="40" fillId="0" borderId="39" xfId="57" applyFont="1" applyBorder="1">
      <alignment/>
      <protection/>
    </xf>
    <xf numFmtId="0" fontId="40" fillId="0" borderId="47" xfId="57" applyFont="1" applyBorder="1" applyAlignment="1">
      <alignment horizontal="center"/>
      <protection/>
    </xf>
    <xf numFmtId="0" fontId="40" fillId="0" borderId="25" xfId="57" applyFont="1" applyBorder="1" applyAlignment="1">
      <alignment horizontal="center"/>
      <protection/>
    </xf>
    <xf numFmtId="1" fontId="40" fillId="0" borderId="52" xfId="57" applyNumberFormat="1" applyFont="1" applyBorder="1" applyAlignment="1">
      <alignment horizontal="center"/>
      <protection/>
    </xf>
    <xf numFmtId="0" fontId="40" fillId="0" borderId="59" xfId="57" applyFont="1" applyBorder="1" applyAlignment="1">
      <alignment horizontal="left"/>
      <protection/>
    </xf>
    <xf numFmtId="3" fontId="40" fillId="0" borderId="60" xfId="57" applyNumberFormat="1" applyFont="1" applyBorder="1">
      <alignment/>
      <protection/>
    </xf>
    <xf numFmtId="0" fontId="39" fillId="0" borderId="59" xfId="57" applyFont="1" applyBorder="1" applyAlignment="1">
      <alignment horizontal="center"/>
      <protection/>
    </xf>
    <xf numFmtId="3" fontId="2" fillId="0" borderId="0" xfId="57" applyNumberFormat="1">
      <alignment/>
      <protection/>
    </xf>
    <xf numFmtId="1" fontId="40" fillId="0" borderId="56" xfId="57" applyNumberFormat="1" applyFont="1" applyBorder="1" applyAlignment="1">
      <alignment horizontal="center"/>
      <protection/>
    </xf>
    <xf numFmtId="0" fontId="40" fillId="0" borderId="50" xfId="57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51" fillId="34" borderId="77" xfId="57" applyFont="1" applyFill="1" applyBorder="1" applyAlignment="1">
      <alignment horizontal="center"/>
      <protection/>
    </xf>
    <xf numFmtId="0" fontId="39" fillId="34" borderId="75" xfId="57" applyFont="1" applyFill="1" applyBorder="1">
      <alignment/>
      <protection/>
    </xf>
    <xf numFmtId="3" fontId="39" fillId="34" borderId="29" xfId="57" applyNumberFormat="1" applyFont="1" applyFill="1" applyBorder="1">
      <alignment/>
      <protection/>
    </xf>
    <xf numFmtId="0" fontId="40" fillId="0" borderId="0" xfId="57" applyFont="1" applyFill="1" applyAlignment="1">
      <alignment horizontal="center"/>
      <protection/>
    </xf>
    <xf numFmtId="0" fontId="40" fillId="0" borderId="0" xfId="57" applyFont="1" applyFill="1">
      <alignment/>
      <protection/>
    </xf>
    <xf numFmtId="0" fontId="39" fillId="0" borderId="0" xfId="57" applyFont="1" applyFill="1">
      <alignment/>
      <protection/>
    </xf>
    <xf numFmtId="3" fontId="39" fillId="0" borderId="0" xfId="57" applyNumberFormat="1" applyFont="1">
      <alignment/>
      <protection/>
    </xf>
    <xf numFmtId="0" fontId="40" fillId="0" borderId="17" xfId="57" applyFont="1" applyFill="1" applyBorder="1" applyAlignment="1">
      <alignment horizontal="center"/>
      <protection/>
    </xf>
    <xf numFmtId="0" fontId="40" fillId="0" borderId="43" xfId="57" applyFont="1" applyFill="1" applyBorder="1">
      <alignment/>
      <protection/>
    </xf>
    <xf numFmtId="164" fontId="40" fillId="0" borderId="16" xfId="57" applyNumberFormat="1" applyFont="1" applyBorder="1">
      <alignment/>
      <protection/>
    </xf>
    <xf numFmtId="0" fontId="40" fillId="0" borderId="22" xfId="57" applyFont="1" applyBorder="1">
      <alignment/>
      <protection/>
    </xf>
    <xf numFmtId="0" fontId="40" fillId="0" borderId="11" xfId="57" applyFont="1" applyFill="1" applyBorder="1" applyAlignment="1">
      <alignment horizontal="center"/>
      <protection/>
    </xf>
    <xf numFmtId="0" fontId="40" fillId="0" borderId="10" xfId="57" applyFont="1" applyFill="1" applyBorder="1">
      <alignment/>
      <protection/>
    </xf>
    <xf numFmtId="0" fontId="40" fillId="0" borderId="15" xfId="57" applyFont="1" applyBorder="1" applyAlignment="1">
      <alignment horizontal="center"/>
      <protection/>
    </xf>
    <xf numFmtId="0" fontId="40" fillId="0" borderId="16" xfId="57" applyFont="1" applyFill="1" applyBorder="1" applyAlignment="1">
      <alignment horizontal="center"/>
      <protection/>
    </xf>
    <xf numFmtId="0" fontId="40" fillId="0" borderId="15" xfId="57" applyFont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0" fillId="0" borderId="14" xfId="57" applyFont="1" applyFill="1" applyBorder="1" applyAlignment="1">
      <alignment horizontal="center"/>
      <protection/>
    </xf>
    <xf numFmtId="3" fontId="40" fillId="0" borderId="15" xfId="57" applyNumberFormat="1" applyFont="1" applyBorder="1">
      <alignment/>
      <protection/>
    </xf>
    <xf numFmtId="0" fontId="40" fillId="0" borderId="28" xfId="57" applyFont="1" applyFill="1" applyBorder="1" applyAlignment="1">
      <alignment horizontal="center"/>
      <protection/>
    </xf>
    <xf numFmtId="0" fontId="40" fillId="0" borderId="12" xfId="57" applyFont="1" applyBorder="1" applyAlignment="1">
      <alignment horizontal="center"/>
      <protection/>
    </xf>
    <xf numFmtId="0" fontId="40" fillId="0" borderId="18" xfId="57" applyFont="1" applyFill="1" applyBorder="1" applyAlignment="1">
      <alignment horizontal="center"/>
      <protection/>
    </xf>
    <xf numFmtId="0" fontId="40" fillId="0" borderId="33" xfId="57" applyFont="1" applyFill="1" applyBorder="1" applyAlignment="1">
      <alignment horizontal="center"/>
      <protection/>
    </xf>
    <xf numFmtId="0" fontId="40" fillId="0" borderId="33" xfId="57" applyFont="1" applyBorder="1" applyAlignment="1">
      <alignment horizontal="center"/>
      <protection/>
    </xf>
    <xf numFmtId="3" fontId="40" fillId="0" borderId="33" xfId="57" applyNumberFormat="1" applyFont="1" applyBorder="1" applyAlignment="1">
      <alignment horizontal="center"/>
      <protection/>
    </xf>
    <xf numFmtId="0" fontId="51" fillId="36" borderId="49" xfId="57" applyFont="1" applyFill="1" applyBorder="1" applyAlignment="1">
      <alignment horizontal="center"/>
      <protection/>
    </xf>
    <xf numFmtId="0" fontId="51" fillId="36" borderId="23" xfId="57" applyFont="1" applyFill="1" applyBorder="1" applyAlignment="1">
      <alignment horizontal="center"/>
      <protection/>
    </xf>
    <xf numFmtId="3" fontId="51" fillId="36" borderId="64" xfId="57" applyNumberFormat="1" applyFont="1" applyFill="1" applyBorder="1" applyAlignment="1">
      <alignment horizontal="right"/>
      <protection/>
    </xf>
    <xf numFmtId="3" fontId="2" fillId="33" borderId="0" xfId="57" applyNumberFormat="1" applyFill="1">
      <alignment/>
      <protection/>
    </xf>
    <xf numFmtId="0" fontId="40" fillId="0" borderId="58" xfId="57" applyFont="1" applyFill="1" applyBorder="1" applyAlignment="1">
      <alignment horizontal="center"/>
      <protection/>
    </xf>
    <xf numFmtId="0" fontId="40" fillId="0" borderId="60" xfId="57" applyFont="1" applyFill="1" applyBorder="1" applyAlignment="1">
      <alignment horizontal="center"/>
      <protection/>
    </xf>
    <xf numFmtId="0" fontId="40" fillId="0" borderId="60" xfId="57" applyFont="1" applyBorder="1" applyAlignment="1">
      <alignment horizontal="center"/>
      <protection/>
    </xf>
    <xf numFmtId="0" fontId="40" fillId="0" borderId="62" xfId="57" applyFont="1" applyBorder="1">
      <alignment/>
      <protection/>
    </xf>
    <xf numFmtId="0" fontId="39" fillId="0" borderId="58" xfId="57" applyFont="1" applyFill="1" applyBorder="1" applyAlignment="1">
      <alignment horizontal="center"/>
      <protection/>
    </xf>
    <xf numFmtId="0" fontId="39" fillId="0" borderId="60" xfId="57" applyFont="1" applyFill="1" applyBorder="1" applyAlignment="1">
      <alignment horizontal="center"/>
      <protection/>
    </xf>
    <xf numFmtId="0" fontId="39" fillId="0" borderId="60" xfId="57" applyFont="1" applyBorder="1">
      <alignment/>
      <protection/>
    </xf>
    <xf numFmtId="3" fontId="40" fillId="0" borderId="62" xfId="57" applyNumberFormat="1" applyFont="1" applyBorder="1">
      <alignment/>
      <protection/>
    </xf>
    <xf numFmtId="0" fontId="40" fillId="0" borderId="60" xfId="57" applyFont="1" applyBorder="1">
      <alignment/>
      <protection/>
    </xf>
    <xf numFmtId="0" fontId="19" fillId="0" borderId="58" xfId="57" applyFont="1" applyFill="1" applyBorder="1" applyAlignment="1">
      <alignment horizontal="center"/>
      <protection/>
    </xf>
    <xf numFmtId="0" fontId="40" fillId="0" borderId="60" xfId="57" applyFont="1" applyFill="1" applyBorder="1" applyAlignment="1">
      <alignment horizontal="center"/>
      <protection/>
    </xf>
    <xf numFmtId="0" fontId="39" fillId="0" borderId="13" xfId="57" applyFont="1" applyFill="1" applyBorder="1" applyAlignment="1">
      <alignment horizontal="center"/>
      <protection/>
    </xf>
    <xf numFmtId="3" fontId="40" fillId="0" borderId="14" xfId="57" applyNumberFormat="1" applyFont="1" applyBorder="1">
      <alignment/>
      <protection/>
    </xf>
    <xf numFmtId="0" fontId="39" fillId="0" borderId="18" xfId="57" applyFont="1" applyFill="1" applyBorder="1" applyAlignment="1">
      <alignment horizontal="center"/>
      <protection/>
    </xf>
    <xf numFmtId="0" fontId="39" fillId="0" borderId="33" xfId="57" applyFont="1" applyFill="1" applyBorder="1" applyAlignment="1">
      <alignment horizontal="center"/>
      <protection/>
    </xf>
    <xf numFmtId="3" fontId="39" fillId="0" borderId="33" xfId="57" applyNumberFormat="1" applyFont="1" applyBorder="1">
      <alignment/>
      <protection/>
    </xf>
    <xf numFmtId="3" fontId="39" fillId="0" borderId="20" xfId="57" applyNumberFormat="1" applyFont="1" applyBorder="1">
      <alignment/>
      <protection/>
    </xf>
    <xf numFmtId="0" fontId="39" fillId="0" borderId="49" xfId="57" applyFont="1" applyFill="1" applyBorder="1" applyAlignment="1">
      <alignment horizontal="center"/>
      <protection/>
    </xf>
    <xf numFmtId="0" fontId="39" fillId="0" borderId="23" xfId="57" applyFont="1" applyFill="1" applyBorder="1" applyAlignment="1">
      <alignment horizontal="center"/>
      <protection/>
    </xf>
    <xf numFmtId="3" fontId="40" fillId="0" borderId="23" xfId="57" applyNumberFormat="1" applyFont="1" applyBorder="1">
      <alignment/>
      <protection/>
    </xf>
    <xf numFmtId="0" fontId="40" fillId="0" borderId="26" xfId="57" applyFont="1" applyBorder="1">
      <alignment/>
      <protection/>
    </xf>
    <xf numFmtId="0" fontId="40" fillId="0" borderId="33" xfId="57" applyFont="1" applyFill="1" applyBorder="1" applyAlignment="1">
      <alignment horizontal="center"/>
      <protection/>
    </xf>
    <xf numFmtId="0" fontId="40" fillId="0" borderId="14" xfId="57" applyFont="1" applyFill="1" applyBorder="1" applyAlignment="1">
      <alignment horizontal="center"/>
      <protection/>
    </xf>
    <xf numFmtId="3" fontId="39" fillId="0" borderId="14" xfId="57" applyNumberFormat="1" applyFont="1" applyBorder="1">
      <alignment/>
      <protection/>
    </xf>
    <xf numFmtId="3" fontId="39" fillId="0" borderId="15" xfId="57" applyNumberFormat="1" applyFont="1" applyBorder="1">
      <alignment/>
      <protection/>
    </xf>
    <xf numFmtId="0" fontId="2" fillId="0" borderId="62" xfId="57" applyBorder="1">
      <alignment/>
      <protection/>
    </xf>
    <xf numFmtId="0" fontId="39" fillId="0" borderId="71" xfId="57" applyFont="1" applyFill="1" applyBorder="1" applyAlignment="1">
      <alignment horizontal="center"/>
      <protection/>
    </xf>
    <xf numFmtId="0" fontId="40" fillId="0" borderId="68" xfId="57" applyFont="1" applyFill="1" applyBorder="1" applyAlignment="1">
      <alignment horizontal="center"/>
      <protection/>
    </xf>
    <xf numFmtId="3" fontId="40" fillId="0" borderId="68" xfId="57" applyNumberFormat="1" applyFont="1" applyBorder="1">
      <alignment/>
      <protection/>
    </xf>
    <xf numFmtId="3" fontId="40" fillId="0" borderId="70" xfId="57" applyNumberFormat="1" applyFont="1" applyBorder="1">
      <alignment/>
      <protection/>
    </xf>
    <xf numFmtId="3" fontId="39" fillId="0" borderId="20" xfId="57" applyNumberFormat="1" applyFont="1" applyBorder="1">
      <alignment/>
      <protection/>
    </xf>
    <xf numFmtId="0" fontId="39" fillId="0" borderId="14" xfId="57" applyFont="1" applyFill="1" applyBorder="1" applyAlignment="1">
      <alignment horizontal="center"/>
      <protection/>
    </xf>
    <xf numFmtId="3" fontId="39" fillId="0" borderId="15" xfId="57" applyNumberFormat="1" applyFont="1" applyBorder="1">
      <alignment/>
      <protection/>
    </xf>
    <xf numFmtId="0" fontId="39" fillId="0" borderId="33" xfId="57" applyFont="1" applyBorder="1">
      <alignment/>
      <protection/>
    </xf>
    <xf numFmtId="3" fontId="39" fillId="0" borderId="20" xfId="57" applyNumberFormat="1" applyFont="1" applyBorder="1">
      <alignment/>
      <protection/>
    </xf>
    <xf numFmtId="3" fontId="2" fillId="33" borderId="0" xfId="57" applyNumberFormat="1" applyFont="1" applyFill="1">
      <alignment/>
      <protection/>
    </xf>
    <xf numFmtId="3" fontId="40" fillId="0" borderId="62" xfId="57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9" fillId="0" borderId="18" xfId="57" applyNumberFormat="1" applyFont="1" applyFill="1" applyBorder="1" applyAlignment="1">
      <alignment horizontal="center"/>
      <protection/>
    </xf>
    <xf numFmtId="3" fontId="39" fillId="0" borderId="33" xfId="57" applyNumberFormat="1" applyFont="1" applyFill="1" applyBorder="1" applyAlignment="1">
      <alignment horizontal="center"/>
      <protection/>
    </xf>
    <xf numFmtId="3" fontId="39" fillId="0" borderId="33" xfId="57" applyNumberFormat="1" applyFont="1" applyFill="1" applyBorder="1">
      <alignment/>
      <protection/>
    </xf>
    <xf numFmtId="0" fontId="39" fillId="0" borderId="18" xfId="57" applyFont="1" applyFill="1" applyBorder="1" applyAlignment="1">
      <alignment horizontal="center"/>
      <protection/>
    </xf>
    <xf numFmtId="0" fontId="39" fillId="0" borderId="33" xfId="57" applyFont="1" applyFill="1" applyBorder="1" applyAlignment="1">
      <alignment horizontal="center"/>
      <protection/>
    </xf>
    <xf numFmtId="3" fontId="39" fillId="0" borderId="33" xfId="57" applyNumberFormat="1" applyFont="1" applyFill="1" applyBorder="1">
      <alignment/>
      <protection/>
    </xf>
    <xf numFmtId="0" fontId="39" fillId="0" borderId="14" xfId="57" applyFont="1" applyBorder="1">
      <alignment/>
      <protection/>
    </xf>
    <xf numFmtId="0" fontId="2" fillId="0" borderId="15" xfId="57" applyBorder="1">
      <alignment/>
      <protection/>
    </xf>
    <xf numFmtId="0" fontId="51" fillId="36" borderId="18" xfId="57" applyFont="1" applyFill="1" applyBorder="1" applyAlignment="1">
      <alignment horizontal="center"/>
      <protection/>
    </xf>
    <xf numFmtId="0" fontId="51" fillId="36" borderId="33" xfId="57" applyFont="1" applyFill="1" applyBorder="1" applyAlignment="1">
      <alignment horizontal="center"/>
      <protection/>
    </xf>
    <xf numFmtId="0" fontId="51" fillId="36" borderId="33" xfId="57" applyFont="1" applyFill="1" applyBorder="1">
      <alignment/>
      <protection/>
    </xf>
    <xf numFmtId="3" fontId="51" fillId="36" borderId="20" xfId="57" applyNumberFormat="1" applyFont="1" applyFill="1" applyBorder="1">
      <alignment/>
      <protection/>
    </xf>
    <xf numFmtId="0" fontId="51" fillId="33" borderId="13" xfId="57" applyFont="1" applyFill="1" applyBorder="1" applyAlignment="1">
      <alignment horizontal="center"/>
      <protection/>
    </xf>
    <xf numFmtId="0" fontId="51" fillId="33" borderId="14" xfId="57" applyFont="1" applyFill="1" applyBorder="1" applyAlignment="1">
      <alignment horizontal="center"/>
      <protection/>
    </xf>
    <xf numFmtId="0" fontId="51" fillId="33" borderId="14" xfId="57" applyFont="1" applyFill="1" applyBorder="1">
      <alignment/>
      <protection/>
    </xf>
    <xf numFmtId="3" fontId="51" fillId="33" borderId="15" xfId="57" applyNumberFormat="1" applyFont="1" applyFill="1" applyBorder="1">
      <alignment/>
      <protection/>
    </xf>
    <xf numFmtId="0" fontId="40" fillId="0" borderId="68" xfId="57" applyFont="1" applyFill="1" applyBorder="1" applyAlignment="1">
      <alignment horizontal="center"/>
      <protection/>
    </xf>
    <xf numFmtId="3" fontId="39" fillId="33" borderId="60" xfId="57" applyNumberFormat="1" applyFont="1" applyFill="1" applyBorder="1">
      <alignment/>
      <protection/>
    </xf>
    <xf numFmtId="0" fontId="51" fillId="0" borderId="58" xfId="57" applyFont="1" applyFill="1" applyBorder="1" applyAlignment="1">
      <alignment horizontal="center"/>
      <protection/>
    </xf>
    <xf numFmtId="0" fontId="2" fillId="33" borderId="0" xfId="57" applyFill="1">
      <alignment/>
      <protection/>
    </xf>
    <xf numFmtId="0" fontId="39" fillId="0" borderId="23" xfId="57" applyFont="1" applyBorder="1">
      <alignment/>
      <protection/>
    </xf>
    <xf numFmtId="0" fontId="39" fillId="36" borderId="58" xfId="57" applyFont="1" applyFill="1" applyBorder="1" applyAlignment="1">
      <alignment horizontal="center"/>
      <protection/>
    </xf>
    <xf numFmtId="0" fontId="39" fillId="36" borderId="60" xfId="57" applyFont="1" applyFill="1" applyBorder="1" applyAlignment="1">
      <alignment horizontal="center"/>
      <protection/>
    </xf>
    <xf numFmtId="0" fontId="39" fillId="36" borderId="60" xfId="57" applyFont="1" applyFill="1" applyBorder="1">
      <alignment/>
      <protection/>
    </xf>
    <xf numFmtId="3" fontId="39" fillId="36" borderId="62" xfId="57" applyNumberFormat="1" applyFont="1" applyFill="1" applyBorder="1">
      <alignment/>
      <protection/>
    </xf>
    <xf numFmtId="0" fontId="39" fillId="0" borderId="68" xfId="57" applyFont="1" applyFill="1" applyBorder="1">
      <alignment/>
      <protection/>
    </xf>
    <xf numFmtId="3" fontId="30" fillId="33" borderId="33" xfId="57" applyNumberFormat="1" applyFont="1" applyFill="1" applyBorder="1">
      <alignment/>
      <protection/>
    </xf>
    <xf numFmtId="0" fontId="39" fillId="33" borderId="33" xfId="57" applyFont="1" applyFill="1" applyBorder="1">
      <alignment/>
      <protection/>
    </xf>
    <xf numFmtId="3" fontId="39" fillId="33" borderId="33" xfId="57" applyNumberFormat="1" applyFont="1" applyFill="1" applyBorder="1">
      <alignment/>
      <protection/>
    </xf>
    <xf numFmtId="0" fontId="40" fillId="0" borderId="23" xfId="57" applyFont="1" applyFill="1" applyBorder="1" applyAlignment="1">
      <alignment horizontal="center"/>
      <protection/>
    </xf>
    <xf numFmtId="3" fontId="39" fillId="0" borderId="23" xfId="57" applyNumberFormat="1" applyFont="1" applyBorder="1">
      <alignment/>
      <protection/>
    </xf>
    <xf numFmtId="0" fontId="30" fillId="0" borderId="62" xfId="57" applyFont="1" applyBorder="1">
      <alignment/>
      <protection/>
    </xf>
    <xf numFmtId="0" fontId="39" fillId="0" borderId="60" xfId="57" applyFont="1" applyBorder="1">
      <alignment/>
      <protection/>
    </xf>
    <xf numFmtId="3" fontId="40" fillId="0" borderId="60" xfId="57" applyNumberFormat="1" applyFont="1" applyBorder="1">
      <alignment/>
      <protection/>
    </xf>
    <xf numFmtId="3" fontId="40" fillId="0" borderId="15" xfId="57" applyNumberFormat="1" applyFont="1" applyBorder="1">
      <alignment/>
      <protection/>
    </xf>
    <xf numFmtId="3" fontId="39" fillId="0" borderId="16" xfId="57" applyNumberFormat="1" applyFont="1" applyBorder="1">
      <alignment/>
      <protection/>
    </xf>
    <xf numFmtId="3" fontId="39" fillId="0" borderId="15" xfId="57" applyNumberFormat="1" applyFont="1" applyBorder="1">
      <alignment/>
      <protection/>
    </xf>
    <xf numFmtId="3" fontId="40" fillId="0" borderId="29" xfId="57" applyNumberFormat="1" applyFont="1" applyBorder="1">
      <alignment/>
      <protection/>
    </xf>
    <xf numFmtId="3" fontId="40" fillId="0" borderId="28" xfId="57" applyNumberFormat="1" applyFont="1" applyBorder="1">
      <alignment/>
      <protection/>
    </xf>
    <xf numFmtId="3" fontId="39" fillId="0" borderId="28" xfId="57" applyNumberFormat="1" applyFont="1" applyBorder="1">
      <alignment/>
      <protection/>
    </xf>
    <xf numFmtId="3" fontId="40" fillId="0" borderId="53" xfId="57" applyNumberFormat="1" applyFont="1" applyBorder="1">
      <alignment/>
      <protection/>
    </xf>
    <xf numFmtId="0" fontId="30" fillId="0" borderId="15" xfId="57" applyFont="1" applyBorder="1">
      <alignment/>
      <protection/>
    </xf>
    <xf numFmtId="0" fontId="40" fillId="33" borderId="33" xfId="57" applyFont="1" applyFill="1" applyBorder="1" applyAlignment="1">
      <alignment horizontal="center"/>
      <protection/>
    </xf>
    <xf numFmtId="0" fontId="39" fillId="33" borderId="33" xfId="57" applyFont="1" applyFill="1" applyBorder="1">
      <alignment/>
      <protection/>
    </xf>
    <xf numFmtId="0" fontId="40" fillId="33" borderId="68" xfId="57" applyFont="1" applyFill="1" applyBorder="1" applyAlignment="1">
      <alignment horizontal="center"/>
      <protection/>
    </xf>
    <xf numFmtId="3" fontId="39" fillId="33" borderId="68" xfId="57" applyNumberFormat="1" applyFont="1" applyFill="1" applyBorder="1">
      <alignment/>
      <protection/>
    </xf>
    <xf numFmtId="0" fontId="30" fillId="0" borderId="70" xfId="57" applyFont="1" applyBorder="1">
      <alignment/>
      <protection/>
    </xf>
    <xf numFmtId="0" fontId="40" fillId="33" borderId="14" xfId="57" applyFont="1" applyFill="1" applyBorder="1" applyAlignment="1">
      <alignment horizontal="center"/>
      <protection/>
    </xf>
    <xf numFmtId="3" fontId="39" fillId="33" borderId="14" xfId="57" applyNumberFormat="1" applyFont="1" applyFill="1" applyBorder="1">
      <alignment/>
      <protection/>
    </xf>
    <xf numFmtId="3" fontId="30" fillId="0" borderId="70" xfId="57" applyNumberFormat="1" applyFont="1" applyBorder="1">
      <alignment/>
      <protection/>
    </xf>
    <xf numFmtId="3" fontId="30" fillId="33" borderId="0" xfId="57" applyNumberFormat="1" applyFont="1" applyFill="1" applyBorder="1" applyAlignment="1">
      <alignment horizontal="center"/>
      <protection/>
    </xf>
    <xf numFmtId="0" fontId="40" fillId="33" borderId="0" xfId="57" applyFont="1" applyFill="1" applyBorder="1">
      <alignment/>
      <protection/>
    </xf>
    <xf numFmtId="3" fontId="39" fillId="33" borderId="0" xfId="57" applyNumberFormat="1" applyFont="1" applyFill="1" applyBorder="1">
      <alignment/>
      <protection/>
    </xf>
    <xf numFmtId="0" fontId="39" fillId="0" borderId="16" xfId="57" applyFont="1" applyFill="1" applyBorder="1" applyAlignment="1">
      <alignment horizontal="center"/>
      <protection/>
    </xf>
    <xf numFmtId="0" fontId="40" fillId="33" borderId="0" xfId="57" applyFont="1" applyFill="1" applyBorder="1" applyAlignment="1">
      <alignment horizontal="center"/>
      <protection/>
    </xf>
    <xf numFmtId="0" fontId="39" fillId="33" borderId="16" xfId="57" applyFont="1" applyFill="1" applyBorder="1">
      <alignment/>
      <protection/>
    </xf>
    <xf numFmtId="3" fontId="39" fillId="0" borderId="16" xfId="57" applyNumberFormat="1" applyFont="1" applyBorder="1">
      <alignment/>
      <protection/>
    </xf>
    <xf numFmtId="3" fontId="39" fillId="33" borderId="0" xfId="57" applyNumberFormat="1" applyFont="1" applyFill="1" applyBorder="1" applyAlignment="1">
      <alignment horizontal="center"/>
      <protection/>
    </xf>
    <xf numFmtId="0" fontId="39" fillId="33" borderId="0" xfId="57" applyFont="1" applyFill="1" applyBorder="1" applyAlignment="1">
      <alignment horizontal="center"/>
      <protection/>
    </xf>
    <xf numFmtId="0" fontId="39" fillId="0" borderId="28" xfId="57" applyFont="1" applyFill="1" applyBorder="1" applyAlignment="1">
      <alignment horizontal="center"/>
      <protection/>
    </xf>
    <xf numFmtId="0" fontId="40" fillId="33" borderId="84" xfId="57" applyFont="1" applyFill="1" applyBorder="1" applyAlignment="1">
      <alignment horizontal="center"/>
      <protection/>
    </xf>
    <xf numFmtId="0" fontId="39" fillId="33" borderId="24" xfId="57" applyFont="1" applyFill="1" applyBorder="1">
      <alignment/>
      <protection/>
    </xf>
    <xf numFmtId="3" fontId="39" fillId="0" borderId="24" xfId="57" applyNumberFormat="1" applyFont="1" applyBorder="1">
      <alignment/>
      <protection/>
    </xf>
    <xf numFmtId="0" fontId="39" fillId="33" borderId="0" xfId="57" applyFont="1" applyFill="1" applyBorder="1">
      <alignment/>
      <protection/>
    </xf>
    <xf numFmtId="0" fontId="39" fillId="36" borderId="36" xfId="57" applyFont="1" applyFill="1" applyBorder="1" applyAlignment="1">
      <alignment horizontal="center"/>
      <protection/>
    </xf>
    <xf numFmtId="0" fontId="40" fillId="36" borderId="35" xfId="57" applyFont="1" applyFill="1" applyBorder="1" applyAlignment="1">
      <alignment horizontal="center"/>
      <protection/>
    </xf>
    <xf numFmtId="0" fontId="39" fillId="36" borderId="35" xfId="57" applyFont="1" applyFill="1" applyBorder="1">
      <alignment/>
      <protection/>
    </xf>
    <xf numFmtId="3" fontId="39" fillId="36" borderId="38" xfId="57" applyNumberFormat="1" applyFont="1" applyFill="1" applyBorder="1">
      <alignment/>
      <protection/>
    </xf>
    <xf numFmtId="0" fontId="52" fillId="33" borderId="0" xfId="57" applyFont="1" applyFill="1">
      <alignment/>
      <protection/>
    </xf>
    <xf numFmtId="0" fontId="39" fillId="0" borderId="34" xfId="57" applyFont="1" applyFill="1" applyBorder="1" applyAlignment="1">
      <alignment horizontal="center"/>
      <protection/>
    </xf>
    <xf numFmtId="0" fontId="40" fillId="33" borderId="34" xfId="57" applyFont="1" applyFill="1" applyBorder="1" applyAlignment="1">
      <alignment horizontal="center"/>
      <protection/>
    </xf>
    <xf numFmtId="0" fontId="39" fillId="33" borderId="34" xfId="57" applyFont="1" applyFill="1" applyBorder="1">
      <alignment/>
      <protection/>
    </xf>
    <xf numFmtId="3" fontId="39" fillId="0" borderId="34" xfId="57" applyNumberFormat="1" applyFont="1" applyBorder="1">
      <alignment/>
      <protection/>
    </xf>
    <xf numFmtId="0" fontId="39" fillId="0" borderId="53" xfId="57" applyFont="1" applyFill="1" applyBorder="1" applyAlignment="1">
      <alignment horizontal="center"/>
      <protection/>
    </xf>
    <xf numFmtId="0" fontId="40" fillId="33" borderId="53" xfId="57" applyFont="1" applyFill="1" applyBorder="1" applyAlignment="1">
      <alignment horizontal="center"/>
      <protection/>
    </xf>
    <xf numFmtId="0" fontId="40" fillId="33" borderId="53" xfId="57" applyFont="1" applyFill="1" applyBorder="1">
      <alignment/>
      <protection/>
    </xf>
    <xf numFmtId="0" fontId="53" fillId="33" borderId="53" xfId="57" applyFont="1" applyFill="1" applyBorder="1">
      <alignment/>
      <protection/>
    </xf>
    <xf numFmtId="3" fontId="53" fillId="0" borderId="53" xfId="57" applyNumberFormat="1" applyFont="1" applyBorder="1">
      <alignment/>
      <protection/>
    </xf>
    <xf numFmtId="0" fontId="40" fillId="0" borderId="53" xfId="57" applyFont="1" applyFill="1" applyBorder="1" applyAlignment="1">
      <alignment horizontal="center"/>
      <protection/>
    </xf>
    <xf numFmtId="0" fontId="39" fillId="36" borderId="17" xfId="57" applyFont="1" applyFill="1" applyBorder="1" applyAlignment="1">
      <alignment horizontal="center"/>
      <protection/>
    </xf>
    <xf numFmtId="0" fontId="40" fillId="36" borderId="16" xfId="57" applyFont="1" applyFill="1" applyBorder="1" applyAlignment="1">
      <alignment horizontal="center"/>
      <protection/>
    </xf>
    <xf numFmtId="3" fontId="39" fillId="36" borderId="16" xfId="57" applyNumberFormat="1" applyFont="1" applyFill="1" applyBorder="1">
      <alignment/>
      <protection/>
    </xf>
    <xf numFmtId="3" fontId="39" fillId="36" borderId="22" xfId="57" applyNumberFormat="1" applyFont="1" applyFill="1" applyBorder="1">
      <alignment/>
      <protection/>
    </xf>
    <xf numFmtId="0" fontId="54" fillId="33" borderId="0" xfId="57" applyFont="1" applyFill="1">
      <alignment/>
      <protection/>
    </xf>
    <xf numFmtId="0" fontId="39" fillId="33" borderId="53" xfId="57" applyFont="1" applyFill="1" applyBorder="1" applyAlignment="1">
      <alignment horizontal="center"/>
      <protection/>
    </xf>
    <xf numFmtId="3" fontId="39" fillId="33" borderId="53" xfId="57" applyNumberFormat="1" applyFont="1" applyFill="1" applyBorder="1">
      <alignment/>
      <protection/>
    </xf>
    <xf numFmtId="3" fontId="40" fillId="33" borderId="53" xfId="57" applyNumberFormat="1" applyFont="1" applyFill="1" applyBorder="1">
      <alignment/>
      <protection/>
    </xf>
    <xf numFmtId="0" fontId="39" fillId="33" borderId="13" xfId="57" applyFont="1" applyFill="1" applyBorder="1" applyAlignment="1">
      <alignment horizontal="center"/>
      <protection/>
    </xf>
    <xf numFmtId="0" fontId="40" fillId="0" borderId="50" xfId="57" applyFont="1" applyFill="1" applyBorder="1" applyAlignment="1">
      <alignment horizontal="center"/>
      <protection/>
    </xf>
    <xf numFmtId="3" fontId="40" fillId="0" borderId="34" xfId="57" applyNumberFormat="1" applyFont="1" applyBorder="1">
      <alignment/>
      <protection/>
    </xf>
    <xf numFmtId="3" fontId="39" fillId="33" borderId="34" xfId="57" applyNumberFormat="1" applyFont="1" applyFill="1" applyBorder="1">
      <alignment/>
      <protection/>
    </xf>
    <xf numFmtId="0" fontId="40" fillId="0" borderId="71" xfId="57" applyFont="1" applyFill="1" applyBorder="1" applyAlignment="1">
      <alignment horizontal="center"/>
      <protection/>
    </xf>
    <xf numFmtId="3" fontId="40" fillId="0" borderId="21" xfId="57" applyNumberFormat="1" applyFont="1" applyBorder="1">
      <alignment/>
      <protection/>
    </xf>
    <xf numFmtId="3" fontId="39" fillId="33" borderId="21" xfId="57" applyNumberFormat="1" applyFont="1" applyFill="1" applyBorder="1">
      <alignment/>
      <protection/>
    </xf>
    <xf numFmtId="3" fontId="39" fillId="0" borderId="18" xfId="57" applyNumberFormat="1" applyFont="1" applyBorder="1">
      <alignment/>
      <protection/>
    </xf>
    <xf numFmtId="3" fontId="39" fillId="0" borderId="35" xfId="57" applyNumberFormat="1" applyFont="1" applyBorder="1">
      <alignment/>
      <protection/>
    </xf>
    <xf numFmtId="3" fontId="39" fillId="0" borderId="38" xfId="57" applyNumberFormat="1" applyFont="1" applyBorder="1">
      <alignment/>
      <protection/>
    </xf>
    <xf numFmtId="3" fontId="39" fillId="0" borderId="13" xfId="57" applyNumberFormat="1" applyFont="1" applyBorder="1">
      <alignment/>
      <protection/>
    </xf>
    <xf numFmtId="0" fontId="39" fillId="0" borderId="58" xfId="57" applyFont="1" applyFill="1" applyBorder="1">
      <alignment/>
      <protection/>
    </xf>
    <xf numFmtId="0" fontId="2" fillId="0" borderId="60" xfId="57" applyBorder="1">
      <alignment/>
      <protection/>
    </xf>
    <xf numFmtId="0" fontId="40" fillId="0" borderId="58" xfId="57" applyFont="1" applyBorder="1">
      <alignment/>
      <protection/>
    </xf>
    <xf numFmtId="3" fontId="40" fillId="0" borderId="58" xfId="57" applyNumberFormat="1" applyFont="1" applyBorder="1">
      <alignment/>
      <protection/>
    </xf>
    <xf numFmtId="3" fontId="40" fillId="0" borderId="60" xfId="57" applyNumberFormat="1" applyFont="1" applyBorder="1">
      <alignment/>
      <protection/>
    </xf>
    <xf numFmtId="0" fontId="39" fillId="0" borderId="53" xfId="57" applyFont="1" applyFill="1" applyBorder="1" applyAlignment="1">
      <alignment horizontal="center"/>
      <protection/>
    </xf>
    <xf numFmtId="3" fontId="40" fillId="0" borderId="59" xfId="57" applyNumberFormat="1" applyFont="1" applyBorder="1">
      <alignment/>
      <protection/>
    </xf>
    <xf numFmtId="3" fontId="40" fillId="0" borderId="13" xfId="57" applyNumberFormat="1" applyFont="1" applyBorder="1">
      <alignment/>
      <protection/>
    </xf>
    <xf numFmtId="3" fontId="40" fillId="0" borderId="28" xfId="57" applyNumberFormat="1" applyFont="1" applyBorder="1">
      <alignment/>
      <protection/>
    </xf>
    <xf numFmtId="0" fontId="39" fillId="0" borderId="17" xfId="57" applyFont="1" applyFill="1" applyBorder="1" applyAlignment="1">
      <alignment horizontal="center"/>
      <protection/>
    </xf>
    <xf numFmtId="3" fontId="39" fillId="0" borderId="22" xfId="57" applyNumberFormat="1" applyFont="1" applyBorder="1">
      <alignment/>
      <protection/>
    </xf>
    <xf numFmtId="0" fontId="39" fillId="0" borderId="19" xfId="57" applyFont="1" applyFill="1" applyBorder="1" applyAlignment="1">
      <alignment horizontal="center"/>
      <protection/>
    </xf>
    <xf numFmtId="3" fontId="39" fillId="0" borderId="33" xfId="57" applyNumberFormat="1" applyFont="1" applyBorder="1">
      <alignment/>
      <protection/>
    </xf>
    <xf numFmtId="0" fontId="39" fillId="0" borderId="14" xfId="57" applyFont="1" applyFill="1" applyBorder="1" applyAlignment="1">
      <alignment horizontal="center"/>
      <protection/>
    </xf>
    <xf numFmtId="0" fontId="39" fillId="0" borderId="0" xfId="57" applyFont="1" applyFill="1" applyBorder="1" applyAlignment="1">
      <alignment horizontal="center"/>
      <protection/>
    </xf>
    <xf numFmtId="3" fontId="39" fillId="0" borderId="14" xfId="57" applyNumberFormat="1" applyFont="1" applyBorder="1">
      <alignment/>
      <protection/>
    </xf>
    <xf numFmtId="0" fontId="39" fillId="0" borderId="23" xfId="57" applyFont="1" applyFill="1" applyBorder="1" applyAlignment="1">
      <alignment horizontal="center"/>
      <protection/>
    </xf>
    <xf numFmtId="0" fontId="40" fillId="0" borderId="61" xfId="57" applyFont="1" applyFill="1" applyBorder="1" applyAlignment="1">
      <alignment horizontal="center"/>
      <protection/>
    </xf>
    <xf numFmtId="3" fontId="40" fillId="0" borderId="23" xfId="57" applyNumberFormat="1" applyFont="1" applyBorder="1">
      <alignment/>
      <protection/>
    </xf>
    <xf numFmtId="0" fontId="40" fillId="0" borderId="57" xfId="57" applyFont="1" applyFill="1" applyBorder="1" applyAlignment="1">
      <alignment horizontal="center"/>
      <protection/>
    </xf>
    <xf numFmtId="0" fontId="2" fillId="0" borderId="23" xfId="57" applyBorder="1">
      <alignment/>
      <protection/>
    </xf>
    <xf numFmtId="0" fontId="39" fillId="0" borderId="61" xfId="57" applyFont="1" applyFill="1" applyBorder="1" applyAlignment="1">
      <alignment horizontal="center"/>
      <protection/>
    </xf>
    <xf numFmtId="0" fontId="39" fillId="0" borderId="68" xfId="57" applyFont="1" applyFill="1" applyBorder="1" applyAlignment="1">
      <alignment horizontal="center"/>
      <protection/>
    </xf>
    <xf numFmtId="0" fontId="40" fillId="0" borderId="69" xfId="57" applyFont="1" applyFill="1" applyBorder="1" applyAlignment="1">
      <alignment horizontal="center"/>
      <protection/>
    </xf>
    <xf numFmtId="0" fontId="39" fillId="0" borderId="28" xfId="57" applyFont="1" applyFill="1" applyBorder="1" applyAlignment="1">
      <alignment horizontal="center"/>
      <protection/>
    </xf>
    <xf numFmtId="0" fontId="40" fillId="0" borderId="0" xfId="57" applyFont="1" applyFill="1" applyBorder="1" applyAlignment="1">
      <alignment horizontal="center"/>
      <protection/>
    </xf>
    <xf numFmtId="0" fontId="2" fillId="0" borderId="70" xfId="57" applyBorder="1">
      <alignment/>
      <protection/>
    </xf>
    <xf numFmtId="0" fontId="40" fillId="0" borderId="20" xfId="57" applyFont="1" applyFill="1" applyBorder="1" applyAlignment="1">
      <alignment horizontal="center"/>
      <protection/>
    </xf>
    <xf numFmtId="0" fontId="40" fillId="0" borderId="65" xfId="57" applyFont="1" applyFill="1" applyBorder="1" applyAlignment="1">
      <alignment horizontal="center"/>
      <protection/>
    </xf>
    <xf numFmtId="3" fontId="39" fillId="0" borderId="50" xfId="57" applyNumberFormat="1" applyFont="1" applyBorder="1">
      <alignment/>
      <protection/>
    </xf>
    <xf numFmtId="3" fontId="39" fillId="0" borderId="23" xfId="57" applyNumberFormat="1" applyFont="1" applyBorder="1">
      <alignment/>
      <protection/>
    </xf>
    <xf numFmtId="0" fontId="40" fillId="0" borderId="63" xfId="57" applyFont="1" applyFill="1" applyBorder="1" applyAlignment="1">
      <alignment horizontal="center"/>
      <protection/>
    </xf>
    <xf numFmtId="0" fontId="39" fillId="0" borderId="15" xfId="57" applyFont="1" applyFill="1" applyBorder="1" applyAlignment="1">
      <alignment horizontal="center"/>
      <protection/>
    </xf>
    <xf numFmtId="3" fontId="40" fillId="0" borderId="0" xfId="57" applyNumberFormat="1" applyFont="1" applyBorder="1">
      <alignment/>
      <protection/>
    </xf>
    <xf numFmtId="0" fontId="2" fillId="0" borderId="14" xfId="57" applyBorder="1">
      <alignment/>
      <protection/>
    </xf>
    <xf numFmtId="0" fontId="2" fillId="0" borderId="25" xfId="57" applyBorder="1">
      <alignment/>
      <protection/>
    </xf>
    <xf numFmtId="3" fontId="39" fillId="36" borderId="60" xfId="57" applyNumberFormat="1" applyFont="1" applyFill="1" applyBorder="1">
      <alignment/>
      <protection/>
    </xf>
    <xf numFmtId="3" fontId="42" fillId="0" borderId="69" xfId="57" applyNumberFormat="1" applyFont="1" applyBorder="1">
      <alignment/>
      <protection/>
    </xf>
    <xf numFmtId="0" fontId="42" fillId="0" borderId="69" xfId="57" applyFont="1" applyBorder="1">
      <alignment/>
      <protection/>
    </xf>
    <xf numFmtId="0" fontId="42" fillId="0" borderId="72" xfId="57" applyFont="1" applyFill="1" applyBorder="1">
      <alignment/>
      <protection/>
    </xf>
    <xf numFmtId="3" fontId="40" fillId="33" borderId="60" xfId="57" applyNumberFormat="1" applyFont="1" applyFill="1" applyBorder="1">
      <alignment/>
      <protection/>
    </xf>
    <xf numFmtId="3" fontId="23" fillId="0" borderId="0" xfId="57" applyNumberFormat="1" applyFont="1" applyBorder="1">
      <alignment/>
      <protection/>
    </xf>
    <xf numFmtId="3" fontId="8" fillId="0" borderId="84" xfId="57" applyNumberFormat="1" applyFont="1" applyBorder="1">
      <alignment/>
      <protection/>
    </xf>
    <xf numFmtId="3" fontId="42" fillId="0" borderId="57" xfId="57" applyNumberFormat="1" applyFont="1" applyBorder="1">
      <alignment/>
      <protection/>
    </xf>
    <xf numFmtId="3" fontId="19" fillId="0" borderId="65" xfId="57" applyNumberFormat="1" applyFont="1" applyBorder="1">
      <alignment/>
      <protection/>
    </xf>
    <xf numFmtId="0" fontId="39" fillId="0" borderId="27" xfId="57" applyFont="1" applyFill="1" applyBorder="1" applyAlignment="1">
      <alignment horizontal="center"/>
      <protection/>
    </xf>
    <xf numFmtId="0" fontId="39" fillId="0" borderId="25" xfId="57" applyFont="1" applyFill="1" applyBorder="1" applyAlignment="1">
      <alignment horizontal="center"/>
      <protection/>
    </xf>
    <xf numFmtId="0" fontId="2" fillId="0" borderId="26" xfId="57" applyBorder="1">
      <alignment/>
      <protection/>
    </xf>
    <xf numFmtId="3" fontId="40" fillId="0" borderId="57" xfId="57" applyNumberFormat="1" applyFont="1" applyBorder="1">
      <alignment/>
      <protection/>
    </xf>
    <xf numFmtId="3" fontId="23" fillId="0" borderId="57" xfId="57" applyNumberFormat="1" applyFont="1" applyBorder="1">
      <alignment/>
      <protection/>
    </xf>
    <xf numFmtId="3" fontId="2" fillId="0" borderId="57" xfId="57" applyNumberFormat="1" applyBorder="1">
      <alignment/>
      <protection/>
    </xf>
    <xf numFmtId="3" fontId="39" fillId="0" borderId="60" xfId="57" applyNumberFormat="1" applyFont="1" applyBorder="1">
      <alignment/>
      <protection/>
    </xf>
    <xf numFmtId="0" fontId="2" fillId="0" borderId="64" xfId="57" applyBorder="1">
      <alignment/>
      <protection/>
    </xf>
    <xf numFmtId="3" fontId="30" fillId="0" borderId="63" xfId="57" applyNumberFormat="1" applyFont="1" applyBorder="1">
      <alignment/>
      <protection/>
    </xf>
    <xf numFmtId="0" fontId="30" fillId="0" borderId="53" xfId="57" applyFont="1" applyBorder="1">
      <alignment/>
      <protection/>
    </xf>
    <xf numFmtId="3" fontId="8" fillId="0" borderId="63" xfId="57" applyNumberFormat="1" applyFont="1" applyBorder="1">
      <alignment/>
      <protection/>
    </xf>
    <xf numFmtId="3" fontId="8" fillId="0" borderId="53" xfId="57" applyNumberFormat="1" applyFont="1" applyBorder="1">
      <alignment/>
      <protection/>
    </xf>
    <xf numFmtId="3" fontId="40" fillId="0" borderId="68" xfId="57" applyNumberFormat="1" applyFont="1" applyBorder="1">
      <alignment/>
      <protection/>
    </xf>
    <xf numFmtId="0" fontId="39" fillId="0" borderId="31" xfId="57" applyFont="1" applyFill="1" applyBorder="1" applyAlignment="1">
      <alignment horizontal="center"/>
      <protection/>
    </xf>
    <xf numFmtId="0" fontId="40" fillId="0" borderId="29" xfId="57" applyFont="1" applyFill="1" applyBorder="1" applyAlignment="1">
      <alignment horizontal="center"/>
      <protection/>
    </xf>
    <xf numFmtId="3" fontId="40" fillId="0" borderId="30" xfId="57" applyNumberFormat="1" applyFont="1" applyBorder="1">
      <alignment/>
      <protection/>
    </xf>
    <xf numFmtId="3" fontId="19" fillId="0" borderId="63" xfId="57" applyNumberFormat="1" applyFont="1" applyBorder="1">
      <alignment/>
      <protection/>
    </xf>
    <xf numFmtId="3" fontId="19" fillId="0" borderId="53" xfId="57" applyNumberFormat="1" applyFont="1" applyBorder="1">
      <alignment/>
      <protection/>
    </xf>
    <xf numFmtId="3" fontId="30" fillId="0" borderId="0" xfId="57" applyNumberFormat="1" applyFont="1">
      <alignment/>
      <protection/>
    </xf>
    <xf numFmtId="0" fontId="30" fillId="0" borderId="0" xfId="57" applyFont="1">
      <alignment/>
      <protection/>
    </xf>
    <xf numFmtId="0" fontId="40" fillId="0" borderId="23" xfId="57" applyFont="1" applyFill="1" applyBorder="1" applyAlignment="1">
      <alignment horizontal="center"/>
      <protection/>
    </xf>
    <xf numFmtId="3" fontId="40" fillId="0" borderId="23" xfId="57" applyNumberFormat="1" applyFont="1" applyBorder="1">
      <alignment/>
      <protection/>
    </xf>
    <xf numFmtId="0" fontId="39" fillId="33" borderId="71" xfId="57" applyFont="1" applyFill="1" applyBorder="1" applyAlignment="1">
      <alignment horizontal="center"/>
      <protection/>
    </xf>
    <xf numFmtId="0" fontId="39" fillId="33" borderId="68" xfId="57" applyFont="1" applyFill="1" applyBorder="1" applyAlignment="1">
      <alignment horizontal="center"/>
      <protection/>
    </xf>
    <xf numFmtId="3" fontId="39" fillId="33" borderId="70" xfId="57" applyNumberFormat="1" applyFont="1" applyFill="1" applyBorder="1">
      <alignment/>
      <protection/>
    </xf>
    <xf numFmtId="3" fontId="39" fillId="33" borderId="68" xfId="57" applyNumberFormat="1" applyFont="1" applyFill="1" applyBorder="1">
      <alignment/>
      <protection/>
    </xf>
    <xf numFmtId="0" fontId="2" fillId="33" borderId="70" xfId="57" applyFill="1" applyBorder="1">
      <alignment/>
      <protection/>
    </xf>
    <xf numFmtId="0" fontId="39" fillId="33" borderId="14" xfId="57" applyFont="1" applyFill="1" applyBorder="1" applyAlignment="1">
      <alignment horizontal="center"/>
      <protection/>
    </xf>
    <xf numFmtId="3" fontId="39" fillId="33" borderId="14" xfId="57" applyNumberFormat="1" applyFont="1" applyFill="1" applyBorder="1">
      <alignment/>
      <protection/>
    </xf>
    <xf numFmtId="0" fontId="2" fillId="33" borderId="15" xfId="57" applyFill="1" applyBorder="1">
      <alignment/>
      <protection/>
    </xf>
    <xf numFmtId="0" fontId="39" fillId="33" borderId="18" xfId="57" applyFont="1" applyFill="1" applyBorder="1" applyAlignment="1">
      <alignment horizontal="center"/>
      <protection/>
    </xf>
    <xf numFmtId="0" fontId="40" fillId="33" borderId="33" xfId="57" applyFont="1" applyFill="1" applyBorder="1" applyAlignment="1">
      <alignment horizontal="center"/>
      <protection/>
    </xf>
    <xf numFmtId="3" fontId="39" fillId="33" borderId="20" xfId="57" applyNumberFormat="1" applyFont="1" applyFill="1" applyBorder="1">
      <alignment/>
      <protection/>
    </xf>
    <xf numFmtId="0" fontId="40" fillId="33" borderId="14" xfId="57" applyFont="1" applyFill="1" applyBorder="1" applyAlignment="1">
      <alignment horizontal="center"/>
      <protection/>
    </xf>
    <xf numFmtId="0" fontId="39" fillId="0" borderId="33" xfId="57" applyFont="1" applyBorder="1">
      <alignment/>
      <protection/>
    </xf>
    <xf numFmtId="0" fontId="2" fillId="0" borderId="20" xfId="57" applyBorder="1">
      <alignment/>
      <protection/>
    </xf>
    <xf numFmtId="3" fontId="39" fillId="33" borderId="33" xfId="57" applyNumberFormat="1" applyFont="1" applyFill="1" applyBorder="1">
      <alignment/>
      <protection/>
    </xf>
    <xf numFmtId="3" fontId="39" fillId="33" borderId="20" xfId="57" applyNumberFormat="1" applyFont="1" applyFill="1" applyBorder="1">
      <alignment/>
      <protection/>
    </xf>
    <xf numFmtId="3" fontId="39" fillId="33" borderId="15" xfId="57" applyNumberFormat="1" applyFont="1" applyFill="1" applyBorder="1">
      <alignment/>
      <protection/>
    </xf>
    <xf numFmtId="3" fontId="39" fillId="33" borderId="15" xfId="57" applyNumberFormat="1" applyFont="1" applyFill="1" applyBorder="1">
      <alignment/>
      <protection/>
    </xf>
    <xf numFmtId="3" fontId="39" fillId="33" borderId="60" xfId="57" applyNumberFormat="1" applyFont="1" applyFill="1" applyBorder="1">
      <alignment/>
      <protection/>
    </xf>
    <xf numFmtId="0" fontId="2" fillId="33" borderId="62" xfId="57" applyFill="1" applyBorder="1">
      <alignment/>
      <protection/>
    </xf>
    <xf numFmtId="3" fontId="40" fillId="33" borderId="60" xfId="57" applyNumberFormat="1" applyFont="1" applyFill="1" applyBorder="1">
      <alignment/>
      <protection/>
    </xf>
    <xf numFmtId="3" fontId="40" fillId="33" borderId="62" xfId="57" applyNumberFormat="1" applyFont="1" applyFill="1" applyBorder="1">
      <alignment/>
      <protection/>
    </xf>
    <xf numFmtId="3" fontId="40" fillId="33" borderId="60" xfId="57" applyNumberFormat="1" applyFont="1" applyFill="1" applyBorder="1">
      <alignment/>
      <protection/>
    </xf>
    <xf numFmtId="3" fontId="40" fillId="33" borderId="15" xfId="57" applyNumberFormat="1" applyFont="1" applyFill="1" applyBorder="1">
      <alignment/>
      <protection/>
    </xf>
    <xf numFmtId="0" fontId="39" fillId="0" borderId="13" xfId="57" applyFont="1" applyFill="1" applyBorder="1" applyAlignment="1">
      <alignment horizontal="left"/>
      <protection/>
    </xf>
    <xf numFmtId="0" fontId="39" fillId="0" borderId="14" xfId="57" applyFont="1" applyFill="1" applyBorder="1" applyAlignment="1">
      <alignment horizontal="left"/>
      <protection/>
    </xf>
    <xf numFmtId="0" fontId="39" fillId="0" borderId="14" xfId="57" applyFont="1" applyBorder="1" applyAlignment="1">
      <alignment horizontal="left"/>
      <protection/>
    </xf>
    <xf numFmtId="0" fontId="39" fillId="36" borderId="18" xfId="57" applyFont="1" applyFill="1" applyBorder="1" applyAlignment="1">
      <alignment horizontal="center"/>
      <protection/>
    </xf>
    <xf numFmtId="0" fontId="39" fillId="36" borderId="33" xfId="57" applyFont="1" applyFill="1" applyBorder="1" applyAlignment="1">
      <alignment horizontal="left"/>
      <protection/>
    </xf>
    <xf numFmtId="3" fontId="39" fillId="36" borderId="20" xfId="57" applyNumberFormat="1" applyFont="1" applyFill="1" applyBorder="1" applyAlignment="1">
      <alignment horizontal="right"/>
      <protection/>
    </xf>
    <xf numFmtId="0" fontId="39" fillId="0" borderId="49" xfId="57" applyFont="1" applyFill="1" applyBorder="1" applyAlignment="1">
      <alignment horizontal="left"/>
      <protection/>
    </xf>
    <xf numFmtId="0" fontId="39" fillId="0" borderId="23" xfId="57" applyFont="1" applyFill="1" applyBorder="1" applyAlignment="1">
      <alignment horizontal="left"/>
      <protection/>
    </xf>
    <xf numFmtId="0" fontId="39" fillId="0" borderId="23" xfId="57" applyFont="1" applyBorder="1" applyAlignment="1">
      <alignment horizontal="left"/>
      <protection/>
    </xf>
    <xf numFmtId="0" fontId="39" fillId="0" borderId="71" xfId="57" applyFont="1" applyFill="1" applyBorder="1" applyAlignment="1">
      <alignment horizontal="left"/>
      <protection/>
    </xf>
    <xf numFmtId="0" fontId="40" fillId="0" borderId="68" xfId="57" applyFont="1" applyFill="1" applyBorder="1" applyAlignment="1">
      <alignment horizontal="left"/>
      <protection/>
    </xf>
    <xf numFmtId="0" fontId="40" fillId="0" borderId="68" xfId="57" applyFont="1" applyBorder="1" applyAlignment="1">
      <alignment horizontal="left"/>
      <protection/>
    </xf>
    <xf numFmtId="0" fontId="39" fillId="36" borderId="33" xfId="57" applyFont="1" applyFill="1" applyBorder="1">
      <alignment/>
      <protection/>
    </xf>
    <xf numFmtId="3" fontId="39" fillId="36" borderId="20" xfId="57" applyNumberFormat="1" applyFont="1" applyFill="1" applyBorder="1">
      <alignment/>
      <protection/>
    </xf>
    <xf numFmtId="3" fontId="8" fillId="0" borderId="0" xfId="57" applyNumberFormat="1" applyFont="1">
      <alignment/>
      <protection/>
    </xf>
    <xf numFmtId="3" fontId="8" fillId="0" borderId="0" xfId="57" applyNumberFormat="1" applyFont="1" applyFill="1">
      <alignment/>
      <protection/>
    </xf>
    <xf numFmtId="0" fontId="2" fillId="33" borderId="0" xfId="57" applyFont="1" applyFill="1">
      <alignment/>
      <protection/>
    </xf>
    <xf numFmtId="3" fontId="40" fillId="0" borderId="64" xfId="57" applyNumberFormat="1" applyFont="1" applyBorder="1" applyAlignment="1">
      <alignment horizontal="center"/>
      <protection/>
    </xf>
    <xf numFmtId="3" fontId="52" fillId="0" borderId="0" xfId="57" applyNumberFormat="1" applyFont="1">
      <alignment/>
      <protection/>
    </xf>
    <xf numFmtId="0" fontId="39" fillId="0" borderId="68" xfId="57" applyFont="1" applyBorder="1">
      <alignment/>
      <protection/>
    </xf>
    <xf numFmtId="3" fontId="39" fillId="0" borderId="14" xfId="57" applyNumberFormat="1" applyFont="1" applyFill="1" applyBorder="1">
      <alignment/>
      <protection/>
    </xf>
    <xf numFmtId="3" fontId="39" fillId="33" borderId="23" xfId="57" applyNumberFormat="1" applyFont="1" applyFill="1" applyBorder="1">
      <alignment/>
      <protection/>
    </xf>
    <xf numFmtId="0" fontId="39" fillId="37" borderId="33" xfId="57" applyFont="1" applyFill="1" applyBorder="1">
      <alignment/>
      <protection/>
    </xf>
    <xf numFmtId="0" fontId="39" fillId="37" borderId="33" xfId="57" applyFont="1" applyFill="1" applyBorder="1">
      <alignment/>
      <protection/>
    </xf>
    <xf numFmtId="3" fontId="39" fillId="0" borderId="68" xfId="57" applyNumberFormat="1" applyFont="1" applyBorder="1">
      <alignment/>
      <protection/>
    </xf>
    <xf numFmtId="0" fontId="39" fillId="37" borderId="16" xfId="57" applyFont="1" applyFill="1" applyBorder="1">
      <alignment/>
      <protection/>
    </xf>
    <xf numFmtId="0" fontId="40" fillId="0" borderId="27" xfId="57" applyFont="1" applyFill="1" applyBorder="1" applyAlignment="1">
      <alignment horizontal="center"/>
      <protection/>
    </xf>
    <xf numFmtId="0" fontId="39" fillId="0" borderId="60" xfId="57" applyFont="1" applyFill="1" applyBorder="1">
      <alignment/>
      <protection/>
    </xf>
    <xf numFmtId="3" fontId="19" fillId="33" borderId="0" xfId="57" applyNumberFormat="1" applyFont="1" applyFill="1" applyBorder="1" applyAlignment="1">
      <alignment horizontal="center"/>
      <protection/>
    </xf>
    <xf numFmtId="0" fontId="19" fillId="0" borderId="60" xfId="57" applyFont="1" applyFill="1" applyBorder="1" applyAlignment="1">
      <alignment horizontal="center"/>
      <protection/>
    </xf>
    <xf numFmtId="0" fontId="40" fillId="0" borderId="84" xfId="57" applyFont="1" applyFill="1" applyBorder="1" applyAlignment="1">
      <alignment horizontal="center"/>
      <protection/>
    </xf>
    <xf numFmtId="0" fontId="39" fillId="37" borderId="24" xfId="57" applyFont="1" applyFill="1" applyBorder="1">
      <alignment/>
      <protection/>
    </xf>
    <xf numFmtId="0" fontId="40" fillId="0" borderId="34" xfId="57" applyFont="1" applyFill="1" applyBorder="1" applyAlignment="1">
      <alignment horizontal="center"/>
      <protection/>
    </xf>
    <xf numFmtId="0" fontId="39" fillId="37" borderId="34" xfId="57" applyFont="1" applyFill="1" applyBorder="1">
      <alignment/>
      <protection/>
    </xf>
    <xf numFmtId="0" fontId="40" fillId="37" borderId="53" xfId="57" applyFont="1" applyFill="1" applyBorder="1">
      <alignment/>
      <protection/>
    </xf>
    <xf numFmtId="0" fontId="53" fillId="37" borderId="53" xfId="57" applyFont="1" applyFill="1" applyBorder="1">
      <alignment/>
      <protection/>
    </xf>
    <xf numFmtId="0" fontId="40" fillId="36" borderId="33" xfId="57" applyFont="1" applyFill="1" applyBorder="1" applyAlignment="1">
      <alignment horizontal="center"/>
      <protection/>
    </xf>
    <xf numFmtId="3" fontId="39" fillId="36" borderId="33" xfId="57" applyNumberFormat="1" applyFont="1" applyFill="1" applyBorder="1">
      <alignment/>
      <protection/>
    </xf>
    <xf numFmtId="3" fontId="40" fillId="0" borderId="49" xfId="57" applyNumberFormat="1" applyFont="1" applyBorder="1">
      <alignment/>
      <protection/>
    </xf>
    <xf numFmtId="0" fontId="39" fillId="0" borderId="57" xfId="57" applyFont="1" applyFill="1" applyBorder="1" applyAlignment="1">
      <alignment horizontal="center"/>
      <protection/>
    </xf>
    <xf numFmtId="3" fontId="40" fillId="0" borderId="68" xfId="57" applyNumberFormat="1" applyFont="1" applyBorder="1">
      <alignment/>
      <protection/>
    </xf>
    <xf numFmtId="3" fontId="40" fillId="0" borderId="53" xfId="57" applyNumberFormat="1" applyFont="1" applyBorder="1">
      <alignment/>
      <protection/>
    </xf>
    <xf numFmtId="0" fontId="39" fillId="0" borderId="11" xfId="57" applyFont="1" applyFill="1" applyBorder="1" applyAlignment="1">
      <alignment horizontal="center"/>
      <protection/>
    </xf>
    <xf numFmtId="3" fontId="39" fillId="0" borderId="12" xfId="57" applyNumberFormat="1" applyFont="1" applyBorder="1">
      <alignment/>
      <protection/>
    </xf>
    <xf numFmtId="3" fontId="23" fillId="0" borderId="63" xfId="57" applyNumberFormat="1" applyFont="1" applyBorder="1">
      <alignment/>
      <protection/>
    </xf>
    <xf numFmtId="0" fontId="23" fillId="0" borderId="53" xfId="57" applyFont="1" applyBorder="1">
      <alignment/>
      <protection/>
    </xf>
    <xf numFmtId="0" fontId="23" fillId="0" borderId="53" xfId="57" applyFont="1" applyFill="1" applyBorder="1">
      <alignment/>
      <protection/>
    </xf>
    <xf numFmtId="3" fontId="23" fillId="0" borderId="53" xfId="57" applyNumberFormat="1" applyFont="1" applyBorder="1">
      <alignment/>
      <protection/>
    </xf>
    <xf numFmtId="3" fontId="42" fillId="0" borderId="63" xfId="57" applyNumberFormat="1" applyFont="1" applyBorder="1">
      <alignment/>
      <protection/>
    </xf>
    <xf numFmtId="3" fontId="42" fillId="0" borderId="53" xfId="57" applyNumberFormat="1" applyFont="1" applyBorder="1">
      <alignment/>
      <protection/>
    </xf>
    <xf numFmtId="3" fontId="40" fillId="0" borderId="64" xfId="57" applyNumberFormat="1" applyFont="1" applyBorder="1">
      <alignment/>
      <protection/>
    </xf>
    <xf numFmtId="3" fontId="23" fillId="0" borderId="23" xfId="57" applyNumberFormat="1" applyFont="1" applyBorder="1">
      <alignment/>
      <protection/>
    </xf>
    <xf numFmtId="3" fontId="2" fillId="0" borderId="63" xfId="57" applyNumberFormat="1" applyBorder="1">
      <alignment/>
      <protection/>
    </xf>
    <xf numFmtId="0" fontId="2" fillId="0" borderId="53" xfId="57" applyBorder="1">
      <alignment/>
      <protection/>
    </xf>
    <xf numFmtId="0" fontId="8" fillId="0" borderId="0" xfId="57" applyFont="1">
      <alignment/>
      <protection/>
    </xf>
    <xf numFmtId="0" fontId="39" fillId="38" borderId="71" xfId="57" applyFont="1" applyFill="1" applyBorder="1" applyAlignment="1">
      <alignment horizontal="center"/>
      <protection/>
    </xf>
    <xf numFmtId="0" fontId="39" fillId="38" borderId="68" xfId="57" applyFont="1" applyFill="1" applyBorder="1" applyAlignment="1">
      <alignment horizontal="center"/>
      <protection/>
    </xf>
    <xf numFmtId="3" fontId="39" fillId="38" borderId="68" xfId="57" applyNumberFormat="1" applyFont="1" applyFill="1" applyBorder="1">
      <alignment/>
      <protection/>
    </xf>
    <xf numFmtId="3" fontId="39" fillId="38" borderId="70" xfId="57" applyNumberFormat="1" applyFont="1" applyFill="1" applyBorder="1">
      <alignment/>
      <protection/>
    </xf>
    <xf numFmtId="3" fontId="39" fillId="38" borderId="68" xfId="57" applyNumberFormat="1" applyFont="1" applyFill="1" applyBorder="1">
      <alignment/>
      <protection/>
    </xf>
    <xf numFmtId="0" fontId="2" fillId="38" borderId="70" xfId="57" applyFill="1" applyBorder="1">
      <alignment/>
      <protection/>
    </xf>
    <xf numFmtId="3" fontId="39" fillId="38" borderId="33" xfId="57" applyNumberFormat="1" applyFont="1" applyFill="1" applyBorder="1">
      <alignment/>
      <protection/>
    </xf>
    <xf numFmtId="3" fontId="39" fillId="38" borderId="20" xfId="57" applyNumberFormat="1" applyFont="1" applyFill="1" applyBorder="1">
      <alignment/>
      <protection/>
    </xf>
    <xf numFmtId="3" fontId="39" fillId="38" borderId="33" xfId="57" applyNumberFormat="1" applyFont="1" applyFill="1" applyBorder="1">
      <alignment/>
      <protection/>
    </xf>
    <xf numFmtId="3" fontId="39" fillId="38" borderId="20" xfId="57" applyNumberFormat="1" applyFont="1" applyFill="1" applyBorder="1">
      <alignment/>
      <protection/>
    </xf>
    <xf numFmtId="0" fontId="39" fillId="38" borderId="18" xfId="57" applyFont="1" applyFill="1" applyBorder="1" applyAlignment="1">
      <alignment horizontal="center"/>
      <protection/>
    </xf>
    <xf numFmtId="0" fontId="40" fillId="38" borderId="33" xfId="57" applyFont="1" applyFill="1" applyBorder="1" applyAlignment="1">
      <alignment horizontal="center"/>
      <protection/>
    </xf>
    <xf numFmtId="0" fontId="39" fillId="38" borderId="13" xfId="57" applyFont="1" applyFill="1" applyBorder="1" applyAlignment="1">
      <alignment horizontal="center"/>
      <protection/>
    </xf>
    <xf numFmtId="0" fontId="40" fillId="38" borderId="14" xfId="57" applyFont="1" applyFill="1" applyBorder="1" applyAlignment="1">
      <alignment horizontal="center"/>
      <protection/>
    </xf>
    <xf numFmtId="3" fontId="39" fillId="38" borderId="14" xfId="57" applyNumberFormat="1" applyFont="1" applyFill="1" applyBorder="1">
      <alignment/>
      <protection/>
    </xf>
    <xf numFmtId="3" fontId="39" fillId="38" borderId="15" xfId="57" applyNumberFormat="1" applyFont="1" applyFill="1" applyBorder="1">
      <alignment/>
      <protection/>
    </xf>
    <xf numFmtId="0" fontId="39" fillId="38" borderId="17" xfId="57" applyFont="1" applyFill="1" applyBorder="1" applyAlignment="1">
      <alignment horizontal="center"/>
      <protection/>
    </xf>
    <xf numFmtId="0" fontId="40" fillId="38" borderId="16" xfId="57" applyFont="1" applyFill="1" applyBorder="1" applyAlignment="1">
      <alignment horizontal="center"/>
      <protection/>
    </xf>
    <xf numFmtId="3" fontId="39" fillId="38" borderId="43" xfId="57" applyNumberFormat="1" applyFont="1" applyFill="1" applyBorder="1">
      <alignment/>
      <protection/>
    </xf>
    <xf numFmtId="3" fontId="39" fillId="38" borderId="16" xfId="57" applyNumberFormat="1" applyFont="1" applyFill="1" applyBorder="1">
      <alignment/>
      <protection/>
    </xf>
    <xf numFmtId="0" fontId="8" fillId="0" borderId="61" xfId="57" applyFont="1" applyFill="1" applyBorder="1">
      <alignment/>
      <protection/>
    </xf>
    <xf numFmtId="0" fontId="39" fillId="38" borderId="11" xfId="57" applyFont="1" applyFill="1" applyBorder="1" applyAlignment="1">
      <alignment horizontal="center"/>
      <protection/>
    </xf>
    <xf numFmtId="0" fontId="40" fillId="38" borderId="28" xfId="57" applyFont="1" applyFill="1" applyBorder="1" applyAlignment="1">
      <alignment horizontal="center"/>
      <protection/>
    </xf>
    <xf numFmtId="3" fontId="39" fillId="38" borderId="10" xfId="57" applyNumberFormat="1" applyFont="1" applyFill="1" applyBorder="1">
      <alignment/>
      <protection/>
    </xf>
    <xf numFmtId="3" fontId="39" fillId="38" borderId="28" xfId="57" applyNumberFormat="1" applyFont="1" applyFill="1" applyBorder="1">
      <alignment/>
      <protection/>
    </xf>
    <xf numFmtId="0" fontId="2" fillId="39" borderId="0" xfId="57" applyFill="1">
      <alignment/>
      <protection/>
    </xf>
    <xf numFmtId="3" fontId="2" fillId="35" borderId="0" xfId="57" applyNumberFormat="1" applyFill="1">
      <alignment/>
      <protection/>
    </xf>
    <xf numFmtId="3" fontId="2" fillId="0" borderId="0" xfId="57" applyNumberFormat="1" applyFont="1">
      <alignment/>
      <protection/>
    </xf>
    <xf numFmtId="0" fontId="2" fillId="0" borderId="0" xfId="57" applyFont="1" applyFill="1" applyBorder="1">
      <alignment/>
      <protection/>
    </xf>
    <xf numFmtId="3" fontId="39" fillId="0" borderId="49" xfId="57" applyNumberFormat="1" applyFont="1" applyBorder="1">
      <alignment/>
      <protection/>
    </xf>
    <xf numFmtId="3" fontId="39" fillId="0" borderId="57" xfId="57" applyNumberFormat="1" applyFont="1" applyBorder="1">
      <alignment/>
      <protection/>
    </xf>
    <xf numFmtId="3" fontId="2" fillId="0" borderId="23" xfId="57" applyNumberFormat="1" applyBorder="1">
      <alignment/>
      <protection/>
    </xf>
    <xf numFmtId="3" fontId="2" fillId="0" borderId="14" xfId="57" applyNumberFormat="1" applyBorder="1">
      <alignment/>
      <protection/>
    </xf>
    <xf numFmtId="0" fontId="39" fillId="0" borderId="21" xfId="57" applyFont="1" applyFill="1" applyBorder="1" applyAlignment="1">
      <alignment horizontal="center"/>
      <protection/>
    </xf>
    <xf numFmtId="0" fontId="40" fillId="0" borderId="21" xfId="57" applyFont="1" applyFill="1" applyBorder="1" applyAlignment="1">
      <alignment horizontal="center"/>
      <protection/>
    </xf>
    <xf numFmtId="3" fontId="40" fillId="0" borderId="21" xfId="57" applyNumberFormat="1" applyFont="1" applyBorder="1">
      <alignment/>
      <protection/>
    </xf>
    <xf numFmtId="0" fontId="39" fillId="0" borderId="36" xfId="57" applyFont="1" applyFill="1" applyBorder="1" applyAlignment="1">
      <alignment horizontal="center"/>
      <protection/>
    </xf>
    <xf numFmtId="0" fontId="39" fillId="0" borderId="35" xfId="57" applyFont="1" applyFill="1" applyBorder="1" applyAlignment="1">
      <alignment horizontal="center"/>
      <protection/>
    </xf>
    <xf numFmtId="3" fontId="4" fillId="38" borderId="20" xfId="57" applyNumberFormat="1" applyFont="1" applyFill="1" applyBorder="1">
      <alignment/>
      <protection/>
    </xf>
    <xf numFmtId="3" fontId="4" fillId="38" borderId="20" xfId="57" applyNumberFormat="1" applyFont="1" applyFill="1" applyBorder="1">
      <alignment/>
      <protection/>
    </xf>
    <xf numFmtId="3" fontId="40" fillId="0" borderId="71" xfId="57" applyNumberFormat="1" applyFont="1" applyBorder="1">
      <alignment/>
      <protection/>
    </xf>
    <xf numFmtId="3" fontId="40" fillId="0" borderId="0" xfId="57" applyNumberFormat="1" applyFont="1" applyBorder="1">
      <alignment/>
      <protection/>
    </xf>
    <xf numFmtId="3" fontId="39" fillId="38" borderId="12" xfId="57" applyNumberFormat="1" applyFont="1" applyFill="1" applyBorder="1">
      <alignment/>
      <protection/>
    </xf>
    <xf numFmtId="0" fontId="39" fillId="37" borderId="16" xfId="57" applyFont="1" applyFill="1" applyBorder="1">
      <alignment/>
      <protection/>
    </xf>
    <xf numFmtId="3" fontId="39" fillId="0" borderId="22" xfId="57" applyNumberFormat="1" applyFont="1" applyBorder="1">
      <alignment/>
      <protection/>
    </xf>
    <xf numFmtId="0" fontId="40" fillId="0" borderId="71" xfId="57" applyFont="1" applyFill="1" applyBorder="1" applyAlignment="1">
      <alignment horizontal="center"/>
      <protection/>
    </xf>
    <xf numFmtId="0" fontId="39" fillId="0" borderId="13" xfId="57" applyFont="1" applyFill="1" applyBorder="1" applyAlignment="1">
      <alignment horizontal="center"/>
      <protection/>
    </xf>
    <xf numFmtId="0" fontId="39" fillId="0" borderId="17" xfId="57" applyFont="1" applyFill="1" applyBorder="1" applyAlignment="1">
      <alignment horizontal="center"/>
      <protection/>
    </xf>
    <xf numFmtId="3" fontId="40" fillId="0" borderId="22" xfId="57" applyNumberFormat="1" applyFont="1" applyBorder="1">
      <alignment/>
      <protection/>
    </xf>
    <xf numFmtId="3" fontId="8" fillId="33" borderId="0" xfId="57" applyNumberFormat="1" applyFont="1" applyFill="1">
      <alignment/>
      <protection/>
    </xf>
    <xf numFmtId="3" fontId="40" fillId="0" borderId="14" xfId="57" applyNumberFormat="1" applyFont="1" applyBorder="1">
      <alignment/>
      <protection/>
    </xf>
    <xf numFmtId="3" fontId="39" fillId="0" borderId="13" xfId="57" applyNumberFormat="1" applyFont="1" applyBorder="1">
      <alignment/>
      <protection/>
    </xf>
    <xf numFmtId="3" fontId="39" fillId="0" borderId="58" xfId="57" applyNumberFormat="1" applyFont="1" applyBorder="1">
      <alignment/>
      <protection/>
    </xf>
    <xf numFmtId="3" fontId="3" fillId="35" borderId="49" xfId="58" applyNumberFormat="1" applyFont="1" applyFill="1" applyBorder="1">
      <alignment/>
      <protection/>
    </xf>
    <xf numFmtId="3" fontId="3" fillId="35" borderId="58" xfId="58" applyNumberFormat="1" applyFont="1" applyFill="1" applyBorder="1">
      <alignment/>
      <protection/>
    </xf>
    <xf numFmtId="3" fontId="3" fillId="35" borderId="71" xfId="58" applyNumberFormat="1" applyFont="1" applyFill="1" applyBorder="1">
      <alignment/>
      <protection/>
    </xf>
    <xf numFmtId="3" fontId="3" fillId="0" borderId="58" xfId="58" applyNumberFormat="1" applyFont="1" applyFill="1" applyBorder="1">
      <alignment/>
      <protection/>
    </xf>
    <xf numFmtId="3" fontId="26" fillId="0" borderId="61" xfId="58" applyNumberFormat="1" applyFont="1" applyFill="1" applyBorder="1">
      <alignment/>
      <protection/>
    </xf>
    <xf numFmtId="3" fontId="25" fillId="33" borderId="61" xfId="58" applyNumberFormat="1" applyFont="1" applyFill="1" applyBorder="1">
      <alignment/>
      <protection/>
    </xf>
    <xf numFmtId="165" fontId="5" fillId="39" borderId="0" xfId="58" applyNumberFormat="1" applyFont="1" applyFill="1" applyBorder="1" applyAlignment="1">
      <alignment horizontal="left"/>
      <protection/>
    </xf>
    <xf numFmtId="0" fontId="8" fillId="0" borderId="0" xfId="57" applyFont="1" applyFill="1">
      <alignment/>
      <protection/>
    </xf>
    <xf numFmtId="0" fontId="8" fillId="0" borderId="0" xfId="57" applyFont="1" applyFill="1" applyProtection="1">
      <alignment/>
      <protection locked="0"/>
    </xf>
    <xf numFmtId="0" fontId="8" fillId="33" borderId="0" xfId="57" applyFont="1" applyFill="1" applyBorder="1" applyProtection="1">
      <alignment/>
      <protection locked="0"/>
    </xf>
    <xf numFmtId="0" fontId="19" fillId="33" borderId="0" xfId="57" applyFont="1" applyFill="1" applyBorder="1" applyAlignment="1">
      <alignment horizontal="left"/>
      <protection/>
    </xf>
    <xf numFmtId="0" fontId="39" fillId="33" borderId="0" xfId="57" applyFont="1" applyFill="1" applyBorder="1" applyAlignment="1">
      <alignment horizontal="left"/>
      <protection/>
    </xf>
    <xf numFmtId="0" fontId="40" fillId="33" borderId="0" xfId="57" applyFont="1" applyFill="1" applyBorder="1">
      <alignment/>
      <protection/>
    </xf>
    <xf numFmtId="3" fontId="6" fillId="33" borderId="0" xfId="57" applyNumberFormat="1" applyFont="1" applyFill="1" applyBorder="1">
      <alignment/>
      <protection/>
    </xf>
    <xf numFmtId="3" fontId="41" fillId="33" borderId="0" xfId="57" applyNumberFormat="1" applyFont="1" applyFill="1" applyBorder="1">
      <alignment/>
      <protection/>
    </xf>
    <xf numFmtId="3" fontId="19" fillId="33" borderId="0" xfId="57" applyNumberFormat="1" applyFont="1" applyFill="1" applyBorder="1">
      <alignment/>
      <protection/>
    </xf>
    <xf numFmtId="3" fontId="41" fillId="0" borderId="0" xfId="57" applyNumberFormat="1" applyFont="1" applyFill="1" applyBorder="1">
      <alignment/>
      <protection/>
    </xf>
    <xf numFmtId="3" fontId="7" fillId="0" borderId="0" xfId="57" applyNumberFormat="1" applyFont="1" applyFill="1" applyBorder="1" applyAlignment="1">
      <alignment horizontal="right"/>
      <protection/>
    </xf>
    <xf numFmtId="0" fontId="19" fillId="33" borderId="10" xfId="57" applyFont="1" applyFill="1" applyBorder="1" applyAlignment="1">
      <alignment horizontal="center"/>
      <protection/>
    </xf>
    <xf numFmtId="0" fontId="19" fillId="33" borderId="10" xfId="57" applyFont="1" applyFill="1" applyBorder="1" applyAlignment="1" applyProtection="1">
      <alignment horizontal="center"/>
      <protection locked="0"/>
    </xf>
    <xf numFmtId="0" fontId="8" fillId="33" borderId="10" xfId="57" applyFont="1" applyFill="1" applyBorder="1" applyAlignment="1" applyProtection="1">
      <alignment horizontal="center"/>
      <protection locked="0"/>
    </xf>
    <xf numFmtId="0" fontId="8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center"/>
      <protection/>
    </xf>
    <xf numFmtId="3" fontId="6" fillId="33" borderId="10" xfId="57" applyNumberFormat="1" applyFont="1" applyFill="1" applyBorder="1" applyAlignment="1">
      <alignment horizontal="center"/>
      <protection/>
    </xf>
    <xf numFmtId="3" fontId="3" fillId="33" borderId="10" xfId="57" applyNumberFormat="1" applyFont="1" applyFill="1" applyBorder="1">
      <alignment/>
      <protection/>
    </xf>
    <xf numFmtId="0" fontId="8" fillId="0" borderId="10" xfId="57" applyFont="1" applyFill="1" applyBorder="1">
      <alignment/>
      <protection/>
    </xf>
    <xf numFmtId="0" fontId="5" fillId="33" borderId="10" xfId="57" applyFont="1" applyFill="1" applyBorder="1">
      <alignment/>
      <protection/>
    </xf>
    <xf numFmtId="0" fontId="3" fillId="33" borderId="10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19" fillId="37" borderId="49" xfId="57" applyFont="1" applyFill="1" applyBorder="1" applyAlignment="1">
      <alignment horizontal="left"/>
      <protection/>
    </xf>
    <xf numFmtId="0" fontId="19" fillId="37" borderId="57" xfId="57" applyFont="1" applyFill="1" applyBorder="1" applyAlignment="1" applyProtection="1">
      <alignment horizontal="left"/>
      <protection locked="0"/>
    </xf>
    <xf numFmtId="0" fontId="19" fillId="37" borderId="64" xfId="57" applyFont="1" applyFill="1" applyBorder="1" applyAlignment="1" applyProtection="1">
      <alignment horizontal="center"/>
      <protection locked="0"/>
    </xf>
    <xf numFmtId="0" fontId="19" fillId="37" borderId="15" xfId="57" applyFont="1" applyFill="1" applyBorder="1" applyAlignment="1">
      <alignment horizontal="center"/>
      <protection/>
    </xf>
    <xf numFmtId="0" fontId="19" fillId="37" borderId="0" xfId="57" applyFont="1" applyFill="1" applyBorder="1">
      <alignment/>
      <protection/>
    </xf>
    <xf numFmtId="3" fontId="19" fillId="37" borderId="14" xfId="57" applyNumberFormat="1" applyFont="1" applyFill="1" applyBorder="1" applyAlignment="1">
      <alignment horizontal="center"/>
      <protection/>
    </xf>
    <xf numFmtId="3" fontId="5" fillId="37" borderId="14" xfId="57" applyNumberFormat="1" applyFont="1" applyFill="1" applyBorder="1" applyAlignment="1">
      <alignment horizontal="center"/>
      <protection/>
    </xf>
    <xf numFmtId="3" fontId="5" fillId="37" borderId="16" xfId="57" applyNumberFormat="1" applyFont="1" applyFill="1" applyBorder="1" applyAlignment="1">
      <alignment horizontal="center"/>
      <protection/>
    </xf>
    <xf numFmtId="3" fontId="42" fillId="37" borderId="16" xfId="57" applyNumberFormat="1" applyFont="1" applyFill="1" applyBorder="1" applyAlignment="1">
      <alignment horizontal="center"/>
      <protection/>
    </xf>
    <xf numFmtId="3" fontId="19" fillId="37" borderId="15" xfId="57" applyNumberFormat="1" applyFont="1" applyFill="1" applyBorder="1" applyAlignment="1">
      <alignment horizontal="center"/>
      <protection/>
    </xf>
    <xf numFmtId="3" fontId="19" fillId="37" borderId="14" xfId="57" applyNumberFormat="1" applyFont="1" applyFill="1" applyBorder="1" applyAlignment="1">
      <alignment horizontal="center"/>
      <protection/>
    </xf>
    <xf numFmtId="0" fontId="8" fillId="0" borderId="0" xfId="57" applyFont="1" applyFill="1">
      <alignment/>
      <protection/>
    </xf>
    <xf numFmtId="0" fontId="19" fillId="37" borderId="13" xfId="57" applyFont="1" applyFill="1" applyBorder="1" applyAlignment="1">
      <alignment horizontal="center"/>
      <protection/>
    </xf>
    <xf numFmtId="0" fontId="19" fillId="37" borderId="13" xfId="57" applyFont="1" applyFill="1" applyBorder="1" applyAlignment="1" applyProtection="1">
      <alignment horizontal="center"/>
      <protection locked="0"/>
    </xf>
    <xf numFmtId="0" fontId="19" fillId="37" borderId="14" xfId="57" applyFont="1" applyFill="1" applyBorder="1" applyAlignment="1" applyProtection="1">
      <alignment horizontal="center"/>
      <protection locked="0"/>
    </xf>
    <xf numFmtId="3" fontId="5" fillId="37" borderId="14" xfId="57" applyNumberFormat="1" applyFont="1" applyFill="1" applyBorder="1" applyAlignment="1">
      <alignment horizontal="center"/>
      <protection/>
    </xf>
    <xf numFmtId="0" fontId="19" fillId="37" borderId="14" xfId="57" applyFont="1" applyFill="1" applyBorder="1" applyAlignment="1">
      <alignment horizontal="center"/>
      <protection/>
    </xf>
    <xf numFmtId="0" fontId="8" fillId="37" borderId="15" xfId="57" applyFont="1" applyFill="1" applyBorder="1" applyAlignment="1">
      <alignment horizontal="center"/>
      <protection/>
    </xf>
    <xf numFmtId="0" fontId="8" fillId="37" borderId="14" xfId="57" applyFont="1" applyFill="1" applyBorder="1">
      <alignment/>
      <protection/>
    </xf>
    <xf numFmtId="3" fontId="8" fillId="37" borderId="15" xfId="57" applyNumberFormat="1" applyFont="1" applyFill="1" applyBorder="1">
      <alignment/>
      <protection/>
    </xf>
    <xf numFmtId="0" fontId="8" fillId="37" borderId="15" xfId="57" applyFont="1" applyFill="1" applyBorder="1">
      <alignment/>
      <protection/>
    </xf>
    <xf numFmtId="3" fontId="8" fillId="37" borderId="14" xfId="57" applyNumberFormat="1" applyFont="1" applyFill="1" applyBorder="1">
      <alignment/>
      <protection/>
    </xf>
    <xf numFmtId="3" fontId="19" fillId="37" borderId="14" xfId="57" applyNumberFormat="1" applyFont="1" applyFill="1" applyBorder="1">
      <alignment/>
      <protection/>
    </xf>
    <xf numFmtId="0" fontId="19" fillId="37" borderId="0" xfId="57" applyFont="1" applyFill="1" applyBorder="1" applyAlignment="1">
      <alignment horizontal="left"/>
      <protection/>
    </xf>
    <xf numFmtId="3" fontId="3" fillId="37" borderId="14" xfId="57" applyNumberFormat="1" applyFont="1" applyFill="1" applyBorder="1" applyAlignment="1">
      <alignment horizontal="center"/>
      <protection/>
    </xf>
    <xf numFmtId="0" fontId="19" fillId="37" borderId="13" xfId="57" applyFont="1" applyFill="1" applyBorder="1">
      <alignment/>
      <protection/>
    </xf>
    <xf numFmtId="3" fontId="11" fillId="37" borderId="14" xfId="57" applyNumberFormat="1" applyFont="1" applyFill="1" applyBorder="1" applyAlignment="1">
      <alignment horizontal="center"/>
      <protection/>
    </xf>
    <xf numFmtId="0" fontId="19" fillId="37" borderId="11" xfId="57" applyFont="1" applyFill="1" applyBorder="1" applyAlignment="1">
      <alignment horizontal="center"/>
      <protection/>
    </xf>
    <xf numFmtId="0" fontId="19" fillId="37" borderId="11" xfId="57" applyFont="1" applyFill="1" applyBorder="1" applyAlignment="1" applyProtection="1">
      <alignment horizontal="center"/>
      <protection locked="0"/>
    </xf>
    <xf numFmtId="0" fontId="19" fillId="37" borderId="28" xfId="57" applyFont="1" applyFill="1" applyBorder="1" applyAlignment="1" applyProtection="1">
      <alignment horizontal="center"/>
      <protection locked="0"/>
    </xf>
    <xf numFmtId="0" fontId="19" fillId="37" borderId="12" xfId="57" applyFont="1" applyFill="1" applyBorder="1" applyAlignment="1">
      <alignment horizontal="center"/>
      <protection/>
    </xf>
    <xf numFmtId="0" fontId="8" fillId="37" borderId="10" xfId="57" applyFont="1" applyFill="1" applyBorder="1" applyAlignment="1">
      <alignment horizontal="center"/>
      <protection/>
    </xf>
    <xf numFmtId="4" fontId="25" fillId="37" borderId="28" xfId="57" applyNumberFormat="1" applyFont="1" applyFill="1" applyBorder="1" applyAlignment="1">
      <alignment horizontal="left"/>
      <protection/>
    </xf>
    <xf numFmtId="0" fontId="8" fillId="37" borderId="11" xfId="57" applyFont="1" applyFill="1" applyBorder="1" applyAlignment="1">
      <alignment horizontal="center"/>
      <protection/>
    </xf>
    <xf numFmtId="4" fontId="43" fillId="37" borderId="28" xfId="57" applyNumberFormat="1" applyFont="1" applyFill="1" applyBorder="1" applyAlignment="1">
      <alignment horizontal="left"/>
      <protection/>
    </xf>
    <xf numFmtId="4" fontId="44" fillId="37" borderId="12" xfId="57" applyNumberFormat="1" applyFont="1" applyFill="1" applyBorder="1" applyAlignment="1">
      <alignment horizontal="center"/>
      <protection/>
    </xf>
    <xf numFmtId="3" fontId="8" fillId="37" borderId="12" xfId="57" applyNumberFormat="1" applyFont="1" applyFill="1" applyBorder="1" applyAlignment="1">
      <alignment horizontal="center"/>
      <protection/>
    </xf>
    <xf numFmtId="4" fontId="19" fillId="37" borderId="28" xfId="57" applyNumberFormat="1" applyFont="1" applyFill="1" applyBorder="1" applyAlignment="1">
      <alignment horizontal="center"/>
      <protection/>
    </xf>
    <xf numFmtId="3" fontId="8" fillId="37" borderId="12" xfId="57" applyNumberFormat="1" applyFont="1" applyFill="1" applyBorder="1">
      <alignment/>
      <protection/>
    </xf>
    <xf numFmtId="4" fontId="19" fillId="37" borderId="12" xfId="57" applyNumberFormat="1" applyFont="1" applyFill="1" applyBorder="1" applyAlignment="1">
      <alignment horizontal="center"/>
      <protection/>
    </xf>
    <xf numFmtId="0" fontId="8" fillId="37" borderId="28" xfId="57" applyFon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19" fillId="33" borderId="28" xfId="57" applyFont="1" applyFill="1" applyBorder="1" applyAlignment="1">
      <alignment horizontal="center"/>
      <protection/>
    </xf>
    <xf numFmtId="0" fontId="19" fillId="33" borderId="12" xfId="57" applyFont="1" applyFill="1" applyBorder="1" applyAlignment="1" applyProtection="1">
      <alignment horizontal="center"/>
      <protection locked="0"/>
    </xf>
    <xf numFmtId="0" fontId="19" fillId="33" borderId="12" xfId="57" applyFont="1" applyFill="1" applyBorder="1" applyAlignment="1">
      <alignment horizontal="center"/>
      <protection/>
    </xf>
    <xf numFmtId="3" fontId="19" fillId="33" borderId="28" xfId="57" applyNumberFormat="1" applyFont="1" applyFill="1" applyBorder="1" applyAlignment="1">
      <alignment horizontal="center"/>
      <protection/>
    </xf>
    <xf numFmtId="0" fontId="19" fillId="33" borderId="18" xfId="57" applyFont="1" applyFill="1" applyBorder="1" applyAlignment="1">
      <alignment horizontal="center"/>
      <protection/>
    </xf>
    <xf numFmtId="3" fontId="19" fillId="33" borderId="33" xfId="57" applyNumberFormat="1" applyFont="1" applyFill="1" applyBorder="1" applyAlignment="1">
      <alignment horizontal="center"/>
      <protection/>
    </xf>
    <xf numFmtId="3" fontId="19" fillId="33" borderId="18" xfId="57" applyNumberFormat="1" applyFont="1" applyFill="1" applyBorder="1" applyAlignment="1">
      <alignment horizontal="center"/>
      <protection/>
    </xf>
    <xf numFmtId="3" fontId="42" fillId="33" borderId="33" xfId="57" applyNumberFormat="1" applyFont="1" applyFill="1" applyBorder="1" applyAlignment="1">
      <alignment horizontal="center"/>
      <protection/>
    </xf>
    <xf numFmtId="3" fontId="19" fillId="33" borderId="12" xfId="57" applyNumberFormat="1" applyFont="1" applyFill="1" applyBorder="1" applyAlignment="1">
      <alignment horizontal="center"/>
      <protection/>
    </xf>
    <xf numFmtId="0" fontId="19" fillId="33" borderId="11" xfId="57" applyFont="1" applyFill="1" applyBorder="1" applyAlignment="1">
      <alignment horizontal="center"/>
      <protection/>
    </xf>
    <xf numFmtId="0" fontId="19" fillId="33" borderId="20" xfId="57" applyFont="1" applyFill="1" applyBorder="1" applyAlignment="1">
      <alignment horizontal="center"/>
      <protection/>
    </xf>
    <xf numFmtId="0" fontId="16" fillId="33" borderId="18" xfId="57" applyFont="1" applyFill="1" applyBorder="1" applyAlignment="1">
      <alignment horizontal="center"/>
      <protection/>
    </xf>
    <xf numFmtId="0" fontId="16" fillId="33" borderId="18" xfId="57" applyFont="1" applyFill="1" applyBorder="1" applyAlignment="1" applyProtection="1">
      <alignment horizontal="center"/>
      <protection locked="0"/>
    </xf>
    <xf numFmtId="0" fontId="16" fillId="33" borderId="33" xfId="57" applyFont="1" applyFill="1" applyBorder="1" applyAlignment="1" applyProtection="1">
      <alignment horizontal="center"/>
      <protection locked="0"/>
    </xf>
    <xf numFmtId="3" fontId="16" fillId="33" borderId="19" xfId="57" applyNumberFormat="1" applyFont="1" applyFill="1" applyBorder="1" applyAlignment="1">
      <alignment horizontal="center"/>
      <protection/>
    </xf>
    <xf numFmtId="0" fontId="19" fillId="33" borderId="33" xfId="57" applyFont="1" applyFill="1" applyBorder="1">
      <alignment/>
      <protection/>
    </xf>
    <xf numFmtId="3" fontId="19" fillId="33" borderId="18" xfId="57" applyNumberFormat="1" applyFont="1" applyFill="1" applyBorder="1">
      <alignment/>
      <protection/>
    </xf>
    <xf numFmtId="3" fontId="19" fillId="33" borderId="37" xfId="57" applyNumberFormat="1" applyFont="1" applyFill="1" applyBorder="1">
      <alignment/>
      <protection/>
    </xf>
    <xf numFmtId="3" fontId="19" fillId="33" borderId="35" xfId="57" applyNumberFormat="1" applyFont="1" applyFill="1" applyBorder="1">
      <alignment/>
      <protection/>
    </xf>
    <xf numFmtId="3" fontId="19" fillId="33" borderId="33" xfId="57" applyNumberFormat="1" applyFont="1" applyFill="1" applyBorder="1">
      <alignment/>
      <protection/>
    </xf>
    <xf numFmtId="3" fontId="5" fillId="33" borderId="20" xfId="57" applyNumberFormat="1" applyFont="1" applyFill="1" applyBorder="1">
      <alignment/>
      <protection/>
    </xf>
    <xf numFmtId="3" fontId="5" fillId="33" borderId="33" xfId="57" applyNumberFormat="1" applyFont="1" applyFill="1" applyBorder="1">
      <alignment/>
      <protection/>
    </xf>
    <xf numFmtId="3" fontId="16" fillId="33" borderId="33" xfId="57" applyNumberFormat="1" applyFont="1" applyFill="1" applyBorder="1">
      <alignment/>
      <protection/>
    </xf>
    <xf numFmtId="3" fontId="16" fillId="33" borderId="20" xfId="57" applyNumberFormat="1" applyFont="1" applyFill="1" applyBorder="1">
      <alignment/>
      <protection/>
    </xf>
    <xf numFmtId="3" fontId="16" fillId="33" borderId="19" xfId="57" applyNumberFormat="1" applyFont="1" applyFill="1" applyBorder="1">
      <alignment/>
      <protection/>
    </xf>
    <xf numFmtId="3" fontId="16" fillId="33" borderId="35" xfId="57" applyNumberFormat="1" applyFont="1" applyFill="1" applyBorder="1">
      <alignment/>
      <protection/>
    </xf>
    <xf numFmtId="4" fontId="16" fillId="33" borderId="32" xfId="57" applyNumberFormat="1" applyFont="1" applyFill="1" applyBorder="1">
      <alignment/>
      <protection/>
    </xf>
    <xf numFmtId="0" fontId="16" fillId="0" borderId="0" xfId="57" applyFont="1" applyFill="1" applyBorder="1">
      <alignment/>
      <protection/>
    </xf>
    <xf numFmtId="3" fontId="16" fillId="0" borderId="0" xfId="57" applyNumberFormat="1" applyFont="1" applyFill="1" applyBorder="1">
      <alignment/>
      <protection/>
    </xf>
    <xf numFmtId="0" fontId="19" fillId="33" borderId="56" xfId="57" applyFont="1" applyFill="1" applyBorder="1" applyAlignment="1">
      <alignment horizontal="center"/>
      <protection/>
    </xf>
    <xf numFmtId="0" fontId="19" fillId="33" borderId="57" xfId="57" applyFont="1" applyFill="1" applyBorder="1" applyAlignment="1" applyProtection="1">
      <alignment horizontal="center"/>
      <protection locked="0"/>
    </xf>
    <xf numFmtId="0" fontId="19" fillId="33" borderId="51" xfId="57" applyFont="1" applyFill="1" applyBorder="1" applyAlignment="1" applyProtection="1">
      <alignment horizontal="center"/>
      <protection locked="0"/>
    </xf>
    <xf numFmtId="3" fontId="8" fillId="33" borderId="57" xfId="57" applyNumberFormat="1" applyFont="1" applyFill="1" applyBorder="1" applyAlignment="1" quotePrefix="1">
      <alignment horizontal="center"/>
      <protection/>
    </xf>
    <xf numFmtId="0" fontId="19" fillId="33" borderId="49" xfId="57" applyFont="1" applyFill="1" applyBorder="1">
      <alignment/>
      <protection/>
    </xf>
    <xf numFmtId="3" fontId="19" fillId="33" borderId="50" xfId="57" applyNumberFormat="1" applyFont="1" applyFill="1" applyBorder="1">
      <alignment/>
      <protection/>
    </xf>
    <xf numFmtId="3" fontId="19" fillId="33" borderId="34" xfId="57" applyNumberFormat="1" applyFont="1" applyFill="1" applyBorder="1">
      <alignment/>
      <protection/>
    </xf>
    <xf numFmtId="3" fontId="19" fillId="33" borderId="25" xfId="57" applyNumberFormat="1" applyFont="1" applyFill="1" applyBorder="1">
      <alignment/>
      <protection/>
    </xf>
    <xf numFmtId="3" fontId="5" fillId="33" borderId="57" xfId="57" applyNumberFormat="1" applyFont="1" applyFill="1" applyBorder="1">
      <alignment/>
      <protection/>
    </xf>
    <xf numFmtId="3" fontId="5" fillId="33" borderId="25" xfId="57" applyNumberFormat="1" applyFont="1" applyFill="1" applyBorder="1">
      <alignment/>
      <protection/>
    </xf>
    <xf numFmtId="3" fontId="19" fillId="33" borderId="25" xfId="57" applyNumberFormat="1" applyFont="1" applyFill="1" applyBorder="1">
      <alignment/>
      <protection/>
    </xf>
    <xf numFmtId="3" fontId="19" fillId="33" borderId="64" xfId="57" applyNumberFormat="1" applyFont="1" applyFill="1" applyBorder="1">
      <alignment/>
      <protection/>
    </xf>
    <xf numFmtId="3" fontId="19" fillId="33" borderId="57" xfId="57" applyNumberFormat="1" applyFont="1" applyFill="1" applyBorder="1">
      <alignment/>
      <protection/>
    </xf>
    <xf numFmtId="3" fontId="8" fillId="33" borderId="34" xfId="57" applyNumberFormat="1" applyFont="1" applyFill="1" applyBorder="1">
      <alignment/>
      <protection/>
    </xf>
    <xf numFmtId="4" fontId="19" fillId="33" borderId="34" xfId="57" applyNumberFormat="1" applyFont="1" applyFill="1" applyBorder="1">
      <alignment/>
      <protection/>
    </xf>
    <xf numFmtId="0" fontId="8" fillId="33" borderId="0" xfId="57" applyFont="1" applyFill="1">
      <alignment/>
      <protection/>
    </xf>
    <xf numFmtId="0" fontId="19" fillId="0" borderId="0" xfId="57" applyFont="1" applyFill="1" applyAlignment="1">
      <alignment horizontal="center"/>
      <protection/>
    </xf>
    <xf numFmtId="0" fontId="19" fillId="0" borderId="0" xfId="57" applyFont="1" applyFill="1" applyAlignment="1" applyProtection="1">
      <alignment horizontal="center"/>
      <protection locked="0"/>
    </xf>
    <xf numFmtId="0" fontId="19" fillId="33" borderId="52" xfId="57" applyFont="1" applyFill="1" applyBorder="1" applyAlignment="1" applyProtection="1">
      <alignment horizontal="center"/>
      <protection locked="0"/>
    </xf>
    <xf numFmtId="3" fontId="8" fillId="33" borderId="61" xfId="57" applyNumberFormat="1" applyFont="1" applyFill="1" applyBorder="1" applyAlignment="1">
      <alignment horizontal="center"/>
      <protection/>
    </xf>
    <xf numFmtId="0" fontId="8" fillId="33" borderId="58" xfId="57" applyFont="1" applyFill="1" applyBorder="1">
      <alignment/>
      <protection/>
    </xf>
    <xf numFmtId="3" fontId="19" fillId="33" borderId="59" xfId="57" applyNumberFormat="1" applyFont="1" applyFill="1" applyBorder="1">
      <alignment/>
      <protection/>
    </xf>
    <xf numFmtId="3" fontId="19" fillId="33" borderId="53" xfId="57" applyNumberFormat="1" applyFont="1" applyFill="1" applyBorder="1">
      <alignment/>
      <protection/>
    </xf>
    <xf numFmtId="3" fontId="42" fillId="33" borderId="53" xfId="57" applyNumberFormat="1" applyFont="1" applyFill="1" applyBorder="1">
      <alignment/>
      <protection/>
    </xf>
    <xf numFmtId="3" fontId="5" fillId="33" borderId="61" xfId="57" applyNumberFormat="1" applyFont="1" applyFill="1" applyBorder="1">
      <alignment/>
      <protection/>
    </xf>
    <xf numFmtId="3" fontId="3" fillId="33" borderId="60" xfId="57" applyNumberFormat="1" applyFont="1" applyFill="1" applyBorder="1">
      <alignment/>
      <protection/>
    </xf>
    <xf numFmtId="3" fontId="8" fillId="33" borderId="23" xfId="57" applyNumberFormat="1" applyFont="1" applyFill="1" applyBorder="1">
      <alignment/>
      <protection/>
    </xf>
    <xf numFmtId="3" fontId="8" fillId="33" borderId="62" xfId="57" applyNumberFormat="1" applyFont="1" applyFill="1" applyBorder="1">
      <alignment/>
      <protection/>
    </xf>
    <xf numFmtId="3" fontId="8" fillId="33" borderId="52" xfId="57" applyNumberFormat="1" applyFont="1" applyFill="1" applyBorder="1">
      <alignment/>
      <protection/>
    </xf>
    <xf numFmtId="0" fontId="3" fillId="33" borderId="59" xfId="57" applyFont="1" applyFill="1" applyBorder="1">
      <alignment/>
      <protection/>
    </xf>
    <xf numFmtId="3" fontId="8" fillId="33" borderId="53" xfId="57" applyNumberFormat="1" applyFont="1" applyFill="1" applyBorder="1">
      <alignment/>
      <protection/>
    </xf>
    <xf numFmtId="4" fontId="19" fillId="33" borderId="53" xfId="57" applyNumberFormat="1" applyFont="1" applyFill="1" applyBorder="1">
      <alignment/>
      <protection/>
    </xf>
    <xf numFmtId="0" fontId="24" fillId="33" borderId="52" xfId="57" applyFont="1" applyFill="1" applyBorder="1" applyAlignment="1">
      <alignment horizontal="center"/>
      <protection/>
    </xf>
    <xf numFmtId="0" fontId="24" fillId="33" borderId="61" xfId="57" applyFont="1" applyFill="1" applyBorder="1" applyAlignment="1" applyProtection="1">
      <alignment horizontal="center"/>
      <protection locked="0"/>
    </xf>
    <xf numFmtId="0" fontId="19" fillId="33" borderId="54" xfId="57" applyFont="1" applyFill="1" applyBorder="1" applyAlignment="1" applyProtection="1">
      <alignment horizontal="center"/>
      <protection locked="0"/>
    </xf>
    <xf numFmtId="3" fontId="19" fillId="33" borderId="61" xfId="57" applyNumberFormat="1" applyFont="1" applyFill="1" applyBorder="1" applyAlignment="1" quotePrefix="1">
      <alignment horizontal="center"/>
      <protection/>
    </xf>
    <xf numFmtId="0" fontId="24" fillId="33" borderId="58" xfId="57" applyFont="1" applyFill="1" applyBorder="1" applyAlignment="1">
      <alignment horizontal="left"/>
      <protection/>
    </xf>
    <xf numFmtId="3" fontId="13" fillId="33" borderId="61" xfId="57" applyNumberFormat="1" applyFont="1" applyFill="1" applyBorder="1">
      <alignment/>
      <protection/>
    </xf>
    <xf numFmtId="3" fontId="24" fillId="33" borderId="60" xfId="57" applyNumberFormat="1" applyFont="1" applyFill="1" applyBorder="1">
      <alignment/>
      <protection/>
    </xf>
    <xf numFmtId="3" fontId="24" fillId="33" borderId="62" xfId="57" applyNumberFormat="1" applyFont="1" applyFill="1" applyBorder="1">
      <alignment/>
      <protection/>
    </xf>
    <xf numFmtId="3" fontId="24" fillId="33" borderId="58" xfId="57" applyNumberFormat="1" applyFont="1" applyFill="1" applyBorder="1">
      <alignment/>
      <protection/>
    </xf>
    <xf numFmtId="0" fontId="19" fillId="33" borderId="0" xfId="57" applyFont="1" applyFill="1">
      <alignment/>
      <protection/>
    </xf>
    <xf numFmtId="0" fontId="19" fillId="0" borderId="0" xfId="57" applyFont="1" applyFill="1">
      <alignment/>
      <protection/>
    </xf>
    <xf numFmtId="0" fontId="19" fillId="33" borderId="52" xfId="57" applyFont="1" applyFill="1" applyBorder="1" applyAlignment="1">
      <alignment horizontal="center"/>
      <protection/>
    </xf>
    <xf numFmtId="0" fontId="19" fillId="33" borderId="61" xfId="57" applyFont="1" applyFill="1" applyBorder="1" applyAlignment="1" applyProtection="1">
      <alignment horizontal="center"/>
      <protection locked="0"/>
    </xf>
    <xf numFmtId="0" fontId="19" fillId="33" borderId="54" xfId="57" applyFont="1" applyFill="1" applyBorder="1" applyAlignment="1" applyProtection="1">
      <alignment horizontal="center"/>
      <protection locked="0"/>
    </xf>
    <xf numFmtId="0" fontId="19" fillId="33" borderId="61" xfId="57" applyFont="1" applyFill="1" applyBorder="1" applyAlignment="1" quotePrefix="1">
      <alignment horizontal="center"/>
      <protection/>
    </xf>
    <xf numFmtId="0" fontId="19" fillId="33" borderId="58" xfId="57" applyFont="1" applyFill="1" applyBorder="1" applyAlignment="1">
      <alignment horizontal="left"/>
      <protection/>
    </xf>
    <xf numFmtId="3" fontId="5" fillId="33" borderId="60" xfId="57" applyNumberFormat="1" applyFont="1" applyFill="1" applyBorder="1">
      <alignment/>
      <protection/>
    </xf>
    <xf numFmtId="3" fontId="19" fillId="33" borderId="60" xfId="57" applyNumberFormat="1" applyFont="1" applyFill="1" applyBorder="1">
      <alignment/>
      <protection/>
    </xf>
    <xf numFmtId="3" fontId="19" fillId="33" borderId="60" xfId="57" applyNumberFormat="1" applyFont="1" applyFill="1" applyBorder="1">
      <alignment/>
      <protection/>
    </xf>
    <xf numFmtId="3" fontId="19" fillId="33" borderId="58" xfId="57" applyNumberFormat="1" applyFont="1" applyFill="1" applyBorder="1">
      <alignment/>
      <protection/>
    </xf>
    <xf numFmtId="0" fontId="19" fillId="33" borderId="0" xfId="57" applyFont="1" applyFill="1">
      <alignment/>
      <protection/>
    </xf>
    <xf numFmtId="3" fontId="13" fillId="33" borderId="60" xfId="57" applyNumberFormat="1" applyFont="1" applyFill="1" applyBorder="1">
      <alignment/>
      <protection/>
    </xf>
    <xf numFmtId="0" fontId="24" fillId="33" borderId="54" xfId="57" applyFont="1" applyFill="1" applyBorder="1" applyAlignment="1" applyProtection="1">
      <alignment horizontal="center"/>
      <protection locked="0"/>
    </xf>
    <xf numFmtId="0" fontId="24" fillId="33" borderId="61" xfId="57" applyFont="1" applyFill="1" applyBorder="1" applyAlignment="1" quotePrefix="1">
      <alignment horizontal="center"/>
      <protection/>
    </xf>
    <xf numFmtId="3" fontId="24" fillId="33" borderId="60" xfId="57" applyNumberFormat="1" applyFont="1" applyFill="1" applyBorder="1">
      <alignment/>
      <protection/>
    </xf>
    <xf numFmtId="3" fontId="24" fillId="33" borderId="58" xfId="57" applyNumberFormat="1" applyFont="1" applyFill="1" applyBorder="1">
      <alignment/>
      <protection/>
    </xf>
    <xf numFmtId="0" fontId="24" fillId="33" borderId="0" xfId="57" applyFont="1" applyFill="1">
      <alignment/>
      <protection/>
    </xf>
    <xf numFmtId="0" fontId="24" fillId="0" borderId="0" xfId="57" applyFont="1" applyFill="1">
      <alignment/>
      <protection/>
    </xf>
    <xf numFmtId="3" fontId="24" fillId="33" borderId="61" xfId="57" applyNumberFormat="1" applyFont="1" applyFill="1" applyBorder="1">
      <alignment/>
      <protection/>
    </xf>
    <xf numFmtId="0" fontId="24" fillId="33" borderId="58" xfId="57" applyFont="1" applyFill="1" applyBorder="1">
      <alignment/>
      <protection/>
    </xf>
    <xf numFmtId="0" fontId="19" fillId="0" borderId="0" xfId="57" applyFont="1" applyFill="1">
      <alignment/>
      <protection/>
    </xf>
    <xf numFmtId="3" fontId="24" fillId="33" borderId="53" xfId="57" applyNumberFormat="1" applyFont="1" applyFill="1" applyBorder="1">
      <alignment/>
      <protection/>
    </xf>
    <xf numFmtId="0" fontId="8" fillId="33" borderId="52" xfId="57" applyFont="1" applyFill="1" applyBorder="1" applyAlignment="1">
      <alignment horizontal="center"/>
      <protection/>
    </xf>
    <xf numFmtId="0" fontId="8" fillId="33" borderId="61" xfId="57" applyFont="1" applyFill="1" applyBorder="1" applyAlignment="1" applyProtection="1">
      <alignment horizontal="center"/>
      <protection locked="0"/>
    </xf>
    <xf numFmtId="0" fontId="8" fillId="33" borderId="54" xfId="57" applyFont="1" applyFill="1" applyBorder="1" applyAlignment="1" applyProtection="1">
      <alignment horizontal="center"/>
      <protection locked="0"/>
    </xf>
    <xf numFmtId="0" fontId="8" fillId="33" borderId="61" xfId="57" applyFont="1" applyFill="1" applyBorder="1" applyAlignment="1" quotePrefix="1">
      <alignment horizontal="center"/>
      <protection/>
    </xf>
    <xf numFmtId="0" fontId="8" fillId="33" borderId="58" xfId="57" applyFont="1" applyFill="1" applyBorder="1" applyAlignment="1">
      <alignment horizontal="left"/>
      <protection/>
    </xf>
    <xf numFmtId="3" fontId="3" fillId="33" borderId="61" xfId="57" applyNumberFormat="1" applyFont="1" applyFill="1" applyBorder="1">
      <alignment/>
      <protection/>
    </xf>
    <xf numFmtId="3" fontId="8" fillId="33" borderId="60" xfId="57" applyNumberFormat="1" applyFont="1" applyFill="1" applyBorder="1">
      <alignment/>
      <protection/>
    </xf>
    <xf numFmtId="3" fontId="3" fillId="33" borderId="59" xfId="57" applyNumberFormat="1" applyFont="1" applyFill="1" applyBorder="1">
      <alignment/>
      <protection/>
    </xf>
    <xf numFmtId="3" fontId="8" fillId="33" borderId="61" xfId="57" applyNumberFormat="1" applyFont="1" applyFill="1" applyBorder="1" applyAlignment="1" quotePrefix="1">
      <alignment horizontal="center"/>
      <protection/>
    </xf>
    <xf numFmtId="3" fontId="8" fillId="33" borderId="58" xfId="57" applyNumberFormat="1" applyFont="1" applyFill="1" applyBorder="1">
      <alignment/>
      <protection/>
    </xf>
    <xf numFmtId="3" fontId="3" fillId="33" borderId="61" xfId="57" applyNumberFormat="1" applyFont="1" applyFill="1" applyBorder="1">
      <alignment/>
      <protection/>
    </xf>
    <xf numFmtId="0" fontId="19" fillId="33" borderId="52" xfId="57" applyFont="1" applyFill="1" applyBorder="1" applyAlignment="1">
      <alignment horizontal="center"/>
      <protection/>
    </xf>
    <xf numFmtId="0" fontId="19" fillId="33" borderId="61" xfId="57" applyFont="1" applyFill="1" applyBorder="1" applyAlignment="1" applyProtection="1">
      <alignment horizontal="center"/>
      <protection locked="0"/>
    </xf>
    <xf numFmtId="0" fontId="19" fillId="33" borderId="61" xfId="57" applyFont="1" applyFill="1" applyBorder="1" applyAlignment="1" quotePrefix="1">
      <alignment horizontal="center"/>
      <protection/>
    </xf>
    <xf numFmtId="0" fontId="25" fillId="33" borderId="52" xfId="57" applyFont="1" applyFill="1" applyBorder="1" applyAlignment="1">
      <alignment horizontal="center"/>
      <protection/>
    </xf>
    <xf numFmtId="0" fontId="25" fillId="33" borderId="61" xfId="57" applyFont="1" applyFill="1" applyBorder="1" applyAlignment="1" applyProtection="1">
      <alignment horizontal="center"/>
      <protection locked="0"/>
    </xf>
    <xf numFmtId="0" fontId="25" fillId="33" borderId="54" xfId="57" applyFont="1" applyFill="1" applyBorder="1" applyAlignment="1" applyProtection="1">
      <alignment horizontal="center"/>
      <protection locked="0"/>
    </xf>
    <xf numFmtId="0" fontId="25" fillId="33" borderId="58" xfId="57" applyFont="1" applyFill="1" applyBorder="1" applyAlignment="1">
      <alignment horizontal="left"/>
      <protection/>
    </xf>
    <xf numFmtId="3" fontId="19" fillId="33" borderId="61" xfId="57" applyNumberFormat="1" applyFont="1" applyFill="1" applyBorder="1">
      <alignment/>
      <protection/>
    </xf>
    <xf numFmtId="0" fontId="5" fillId="33" borderId="59" xfId="57" applyFont="1" applyFill="1" applyBorder="1">
      <alignment/>
      <protection/>
    </xf>
    <xf numFmtId="3" fontId="13" fillId="33" borderId="52" xfId="57" applyNumberFormat="1" applyFont="1" applyFill="1" applyBorder="1">
      <alignment/>
      <protection/>
    </xf>
    <xf numFmtId="3" fontId="24" fillId="33" borderId="62" xfId="57" applyNumberFormat="1" applyFont="1" applyFill="1" applyBorder="1">
      <alignment/>
      <protection/>
    </xf>
    <xf numFmtId="3" fontId="24" fillId="33" borderId="61" xfId="57" applyNumberFormat="1" applyFont="1" applyFill="1" applyBorder="1">
      <alignment/>
      <protection/>
    </xf>
    <xf numFmtId="0" fontId="19" fillId="33" borderId="52" xfId="57" applyFont="1" applyFill="1" applyBorder="1" applyAlignment="1">
      <alignment horizontal="center"/>
      <protection/>
    </xf>
    <xf numFmtId="0" fontId="19" fillId="33" borderId="61" xfId="57" applyFont="1" applyFill="1" applyBorder="1" applyAlignment="1" applyProtection="1">
      <alignment horizontal="center"/>
      <protection locked="0"/>
    </xf>
    <xf numFmtId="0" fontId="7" fillId="33" borderId="61" xfId="57" applyFont="1" applyFill="1" applyBorder="1">
      <alignment/>
      <protection/>
    </xf>
    <xf numFmtId="3" fontId="3" fillId="33" borderId="59" xfId="57" applyNumberFormat="1" applyFont="1" applyFill="1" applyBorder="1">
      <alignment/>
      <protection/>
    </xf>
    <xf numFmtId="0" fontId="7" fillId="0" borderId="0" xfId="57" applyFont="1" applyFill="1">
      <alignment/>
      <protection/>
    </xf>
    <xf numFmtId="3" fontId="8" fillId="33" borderId="60" xfId="57" applyNumberFormat="1" applyFont="1" applyFill="1" applyBorder="1">
      <alignment/>
      <protection/>
    </xf>
    <xf numFmtId="0" fontId="19" fillId="33" borderId="58" xfId="57" applyFont="1" applyFill="1" applyBorder="1">
      <alignment/>
      <protection/>
    </xf>
    <xf numFmtId="3" fontId="19" fillId="33" borderId="62" xfId="57" applyNumberFormat="1" applyFont="1" applyFill="1" applyBorder="1">
      <alignment/>
      <protection/>
    </xf>
    <xf numFmtId="3" fontId="19" fillId="33" borderId="60" xfId="57" applyNumberFormat="1" applyFont="1" applyFill="1" applyBorder="1">
      <alignment/>
      <protection/>
    </xf>
    <xf numFmtId="3" fontId="5" fillId="33" borderId="62" xfId="57" applyNumberFormat="1" applyFont="1" applyFill="1" applyBorder="1">
      <alignment/>
      <protection/>
    </xf>
    <xf numFmtId="3" fontId="19" fillId="33" borderId="62" xfId="57" applyNumberFormat="1" applyFont="1" applyFill="1" applyBorder="1">
      <alignment/>
      <protection/>
    </xf>
    <xf numFmtId="3" fontId="19" fillId="33" borderId="58" xfId="57" applyNumberFormat="1" applyFont="1" applyFill="1" applyBorder="1">
      <alignment/>
      <protection/>
    </xf>
    <xf numFmtId="3" fontId="19" fillId="33" borderId="52" xfId="57" applyNumberFormat="1" applyFont="1" applyFill="1" applyBorder="1">
      <alignment/>
      <protection/>
    </xf>
    <xf numFmtId="0" fontId="5" fillId="33" borderId="59" xfId="57" applyFont="1" applyFill="1" applyBorder="1" applyAlignment="1">
      <alignment horizontal="left"/>
      <protection/>
    </xf>
    <xf numFmtId="0" fontId="5" fillId="33" borderId="61" xfId="57" applyFont="1" applyFill="1" applyBorder="1" applyAlignment="1">
      <alignment horizontal="left"/>
      <protection/>
    </xf>
    <xf numFmtId="0" fontId="3" fillId="33" borderId="59" xfId="57" applyFont="1" applyFill="1" applyBorder="1" applyAlignment="1">
      <alignment horizontal="left"/>
      <protection/>
    </xf>
    <xf numFmtId="3" fontId="13" fillId="33" borderId="69" xfId="57" applyNumberFormat="1" applyFont="1" applyFill="1" applyBorder="1">
      <alignment/>
      <protection/>
    </xf>
    <xf numFmtId="3" fontId="24" fillId="33" borderId="68" xfId="57" applyNumberFormat="1" applyFont="1" applyFill="1" applyBorder="1">
      <alignment/>
      <protection/>
    </xf>
    <xf numFmtId="3" fontId="19" fillId="33" borderId="61" xfId="57" applyNumberFormat="1" applyFont="1" applyFill="1" applyBorder="1">
      <alignment/>
      <protection/>
    </xf>
    <xf numFmtId="3" fontId="24" fillId="33" borderId="53" xfId="57" applyNumberFormat="1" applyFont="1" applyFill="1" applyBorder="1">
      <alignment/>
      <protection/>
    </xf>
    <xf numFmtId="0" fontId="13" fillId="33" borderId="69" xfId="57" applyFont="1" applyFill="1" applyBorder="1" applyAlignment="1">
      <alignment horizontal="left"/>
      <protection/>
    </xf>
    <xf numFmtId="0" fontId="20" fillId="33" borderId="0" xfId="57" applyFont="1" applyFill="1">
      <alignment/>
      <protection/>
    </xf>
    <xf numFmtId="0" fontId="24" fillId="33" borderId="66" xfId="57" applyFont="1" applyFill="1" applyBorder="1" applyAlignment="1">
      <alignment horizontal="center"/>
      <protection/>
    </xf>
    <xf numFmtId="0" fontId="24" fillId="33" borderId="69" xfId="57" applyFont="1" applyFill="1" applyBorder="1" applyAlignment="1" applyProtection="1">
      <alignment horizontal="center"/>
      <protection locked="0"/>
    </xf>
    <xf numFmtId="0" fontId="24" fillId="33" borderId="73" xfId="57" applyFont="1" applyFill="1" applyBorder="1" applyAlignment="1" applyProtection="1">
      <alignment horizontal="center"/>
      <protection locked="0"/>
    </xf>
    <xf numFmtId="0" fontId="24" fillId="33" borderId="69" xfId="57" applyFont="1" applyFill="1" applyBorder="1" applyAlignment="1" quotePrefix="1">
      <alignment horizontal="center"/>
      <protection/>
    </xf>
    <xf numFmtId="0" fontId="24" fillId="33" borderId="71" xfId="57" applyFont="1" applyFill="1" applyBorder="1">
      <alignment/>
      <protection/>
    </xf>
    <xf numFmtId="3" fontId="13" fillId="33" borderId="68" xfId="57" applyNumberFormat="1" applyFont="1" applyFill="1" applyBorder="1">
      <alignment/>
      <protection/>
    </xf>
    <xf numFmtId="3" fontId="24" fillId="33" borderId="71" xfId="57" applyNumberFormat="1" applyFont="1" applyFill="1" applyBorder="1">
      <alignment/>
      <protection/>
    </xf>
    <xf numFmtId="0" fontId="24" fillId="33" borderId="71" xfId="57" applyFont="1" applyFill="1" applyBorder="1" applyAlignment="1">
      <alignment horizontal="center"/>
      <protection/>
    </xf>
    <xf numFmtId="0" fontId="24" fillId="33" borderId="70" xfId="57" applyFont="1" applyFill="1" applyBorder="1" applyAlignment="1" applyProtection="1">
      <alignment horizontal="center"/>
      <protection locked="0"/>
    </xf>
    <xf numFmtId="0" fontId="19" fillId="33" borderId="66" xfId="57" applyFont="1" applyFill="1" applyBorder="1" applyAlignment="1">
      <alignment horizontal="center"/>
      <protection/>
    </xf>
    <xf numFmtId="0" fontId="19" fillId="33" borderId="69" xfId="57" applyFont="1" applyFill="1" applyBorder="1" applyAlignment="1" applyProtection="1">
      <alignment horizontal="center"/>
      <protection locked="0"/>
    </xf>
    <xf numFmtId="0" fontId="8" fillId="33" borderId="73" xfId="57" applyFont="1" applyFill="1" applyBorder="1" applyAlignment="1" applyProtection="1">
      <alignment horizontal="center"/>
      <protection locked="0"/>
    </xf>
    <xf numFmtId="3" fontId="19" fillId="33" borderId="69" xfId="57" applyNumberFormat="1" applyFont="1" applyFill="1" applyBorder="1" applyAlignment="1">
      <alignment horizontal="center"/>
      <protection/>
    </xf>
    <xf numFmtId="3" fontId="19" fillId="33" borderId="75" xfId="57" applyNumberFormat="1" applyFont="1" applyFill="1" applyBorder="1">
      <alignment/>
      <protection/>
    </xf>
    <xf numFmtId="3" fontId="19" fillId="33" borderId="40" xfId="57" applyNumberFormat="1" applyFont="1" applyFill="1" applyBorder="1">
      <alignment/>
      <protection/>
    </xf>
    <xf numFmtId="3" fontId="42" fillId="33" borderId="40" xfId="57" applyNumberFormat="1" applyFont="1" applyFill="1" applyBorder="1">
      <alignment/>
      <protection/>
    </xf>
    <xf numFmtId="3" fontId="26" fillId="33" borderId="69" xfId="57" applyNumberFormat="1" applyFont="1" applyFill="1" applyBorder="1">
      <alignment/>
      <protection/>
    </xf>
    <xf numFmtId="3" fontId="25" fillId="33" borderId="69" xfId="57" applyNumberFormat="1" applyFont="1" applyFill="1" applyBorder="1">
      <alignment/>
      <protection/>
    </xf>
    <xf numFmtId="3" fontId="25" fillId="33" borderId="40" xfId="57" applyNumberFormat="1" applyFont="1" applyFill="1" applyBorder="1">
      <alignment/>
      <protection/>
    </xf>
    <xf numFmtId="3" fontId="8" fillId="33" borderId="40" xfId="57" applyNumberFormat="1" applyFont="1" applyFill="1" applyBorder="1">
      <alignment/>
      <protection/>
    </xf>
    <xf numFmtId="4" fontId="19" fillId="33" borderId="40" xfId="57" applyNumberFormat="1" applyFont="1" applyFill="1" applyBorder="1">
      <alignment/>
      <protection/>
    </xf>
    <xf numFmtId="0" fontId="19" fillId="33" borderId="19" xfId="57" applyFont="1" applyFill="1" applyBorder="1" applyAlignment="1" applyProtection="1">
      <alignment horizontal="center"/>
      <protection locked="0"/>
    </xf>
    <xf numFmtId="0" fontId="19" fillId="33" borderId="20" xfId="57" applyFont="1" applyFill="1" applyBorder="1" applyAlignment="1" applyProtection="1">
      <alignment horizontal="center"/>
      <protection locked="0"/>
    </xf>
    <xf numFmtId="0" fontId="8" fillId="33" borderId="19" xfId="57" applyFont="1" applyFill="1" applyBorder="1" applyAlignment="1" quotePrefix="1">
      <alignment horizontal="center"/>
      <protection/>
    </xf>
    <xf numFmtId="0" fontId="19" fillId="33" borderId="18" xfId="57" applyFont="1" applyFill="1" applyBorder="1">
      <alignment/>
      <protection/>
    </xf>
    <xf numFmtId="3" fontId="5" fillId="33" borderId="19" xfId="57" applyNumberFormat="1" applyFont="1" applyFill="1" applyBorder="1">
      <alignment/>
      <protection/>
    </xf>
    <xf numFmtId="3" fontId="19" fillId="33" borderId="33" xfId="57" applyNumberFormat="1" applyFont="1" applyFill="1" applyBorder="1">
      <alignment/>
      <protection/>
    </xf>
    <xf numFmtId="3" fontId="19" fillId="33" borderId="33" xfId="57" applyNumberFormat="1" applyFont="1" applyFill="1" applyBorder="1">
      <alignment/>
      <protection/>
    </xf>
    <xf numFmtId="3" fontId="19" fillId="33" borderId="10" xfId="57" applyNumberFormat="1" applyFont="1" applyFill="1" applyBorder="1">
      <alignment/>
      <protection/>
    </xf>
    <xf numFmtId="3" fontId="19" fillId="33" borderId="19" xfId="57" applyNumberFormat="1" applyFont="1" applyFill="1" applyBorder="1">
      <alignment/>
      <protection/>
    </xf>
    <xf numFmtId="3" fontId="8" fillId="33" borderId="35" xfId="57" applyNumberFormat="1" applyFont="1" applyFill="1" applyBorder="1">
      <alignment/>
      <protection/>
    </xf>
    <xf numFmtId="4" fontId="19" fillId="33" borderId="35" xfId="57" applyNumberFormat="1" applyFont="1" applyFill="1" applyBorder="1">
      <alignment/>
      <protection/>
    </xf>
    <xf numFmtId="0" fontId="19" fillId="33" borderId="0" xfId="57" applyFont="1" applyFill="1" applyBorder="1">
      <alignment/>
      <protection/>
    </xf>
    <xf numFmtId="0" fontId="19" fillId="33" borderId="51" xfId="57" applyFont="1" applyFill="1" applyBorder="1" applyAlignment="1" applyProtection="1">
      <alignment horizontal="center"/>
      <protection locked="0"/>
    </xf>
    <xf numFmtId="0" fontId="19" fillId="33" borderId="57" xfId="57" applyFont="1" applyFill="1" applyBorder="1" applyAlignment="1" quotePrefix="1">
      <alignment horizontal="center"/>
      <protection/>
    </xf>
    <xf numFmtId="3" fontId="42" fillId="33" borderId="34" xfId="57" applyNumberFormat="1" applyFont="1" applyFill="1" applyBorder="1">
      <alignment/>
      <protection/>
    </xf>
    <xf numFmtId="3" fontId="5" fillId="33" borderId="23" xfId="57" applyNumberFormat="1" applyFont="1" applyFill="1" applyBorder="1">
      <alignment/>
      <protection/>
    </xf>
    <xf numFmtId="3" fontId="19" fillId="33" borderId="23" xfId="57" applyNumberFormat="1" applyFont="1" applyFill="1" applyBorder="1">
      <alignment/>
      <protection/>
    </xf>
    <xf numFmtId="3" fontId="19" fillId="33" borderId="64" xfId="57" applyNumberFormat="1" applyFont="1" applyFill="1" applyBorder="1">
      <alignment/>
      <protection/>
    </xf>
    <xf numFmtId="3" fontId="19" fillId="33" borderId="56" xfId="57" applyNumberFormat="1" applyFont="1" applyFill="1" applyBorder="1">
      <alignment/>
      <protection/>
    </xf>
    <xf numFmtId="0" fontId="5" fillId="33" borderId="50" xfId="57" applyFont="1" applyFill="1" applyBorder="1" applyAlignment="1">
      <alignment horizontal="left"/>
      <protection/>
    </xf>
    <xf numFmtId="3" fontId="8" fillId="33" borderId="62" xfId="57" applyNumberFormat="1" applyFont="1" applyFill="1" applyBorder="1">
      <alignment/>
      <protection/>
    </xf>
    <xf numFmtId="3" fontId="8" fillId="33" borderId="61" xfId="57" applyNumberFormat="1" applyFont="1" applyFill="1" applyBorder="1">
      <alignment/>
      <protection/>
    </xf>
    <xf numFmtId="0" fontId="25" fillId="33" borderId="58" xfId="57" applyFont="1" applyFill="1" applyBorder="1">
      <alignment/>
      <protection/>
    </xf>
    <xf numFmtId="3" fontId="24" fillId="33" borderId="52" xfId="57" applyNumberFormat="1" applyFont="1" applyFill="1" applyBorder="1">
      <alignment/>
      <protection/>
    </xf>
    <xf numFmtId="0" fontId="13" fillId="33" borderId="59" xfId="57" applyFont="1" applyFill="1" applyBorder="1" applyAlignment="1">
      <alignment horizontal="left"/>
      <protection/>
    </xf>
    <xf numFmtId="3" fontId="19" fillId="33" borderId="61" xfId="57" applyNumberFormat="1" applyFont="1" applyFill="1" applyBorder="1" applyAlignment="1" quotePrefix="1">
      <alignment horizontal="center"/>
      <protection/>
    </xf>
    <xf numFmtId="3" fontId="19" fillId="33" borderId="61" xfId="57" applyNumberFormat="1" applyFont="1" applyFill="1" applyBorder="1">
      <alignment/>
      <protection/>
    </xf>
    <xf numFmtId="0" fontId="25" fillId="33" borderId="61" xfId="57" applyFont="1" applyFill="1" applyBorder="1" applyAlignment="1" quotePrefix="1">
      <alignment horizontal="center"/>
      <protection/>
    </xf>
    <xf numFmtId="3" fontId="26" fillId="33" borderId="61" xfId="57" applyNumberFormat="1" applyFont="1" applyFill="1" applyBorder="1">
      <alignment/>
      <protection/>
    </xf>
    <xf numFmtId="3" fontId="26" fillId="33" borderId="60" xfId="57" applyNumberFormat="1" applyFont="1" applyFill="1" applyBorder="1">
      <alignment/>
      <protection/>
    </xf>
    <xf numFmtId="3" fontId="25" fillId="33" borderId="60" xfId="57" applyNumberFormat="1" applyFont="1" applyFill="1" applyBorder="1">
      <alignment/>
      <protection/>
    </xf>
    <xf numFmtId="3" fontId="25" fillId="33" borderId="62" xfId="57" applyNumberFormat="1" applyFont="1" applyFill="1" applyBorder="1">
      <alignment/>
      <protection/>
    </xf>
    <xf numFmtId="3" fontId="25" fillId="33" borderId="52" xfId="57" applyNumberFormat="1" applyFont="1" applyFill="1" applyBorder="1">
      <alignment/>
      <protection/>
    </xf>
    <xf numFmtId="3" fontId="26" fillId="33" borderId="59" xfId="57" applyNumberFormat="1" applyFont="1" applyFill="1" applyBorder="1">
      <alignment/>
      <protection/>
    </xf>
    <xf numFmtId="0" fontId="25" fillId="33" borderId="0" xfId="57" applyFont="1" applyFill="1">
      <alignment/>
      <protection/>
    </xf>
    <xf numFmtId="0" fontId="25" fillId="0" borderId="0" xfId="57" applyFont="1" applyFill="1">
      <alignment/>
      <protection/>
    </xf>
    <xf numFmtId="0" fontId="25" fillId="33" borderId="13" xfId="57" applyFont="1" applyFill="1" applyBorder="1">
      <alignment/>
      <protection/>
    </xf>
    <xf numFmtId="0" fontId="8" fillId="33" borderId="54" xfId="57" applyFont="1" applyFill="1" applyBorder="1" applyAlignment="1" applyProtection="1">
      <alignment horizontal="center"/>
      <protection locked="0"/>
    </xf>
    <xf numFmtId="0" fontId="26" fillId="33" borderId="59" xfId="57" applyFont="1" applyFill="1" applyBorder="1" applyAlignment="1">
      <alignment horizontal="left"/>
      <protection/>
    </xf>
    <xf numFmtId="0" fontId="8" fillId="33" borderId="52" xfId="57" applyFont="1" applyFill="1" applyBorder="1" applyAlignment="1">
      <alignment horizontal="center"/>
      <protection/>
    </xf>
    <xf numFmtId="0" fontId="8" fillId="33" borderId="61" xfId="57" applyFont="1" applyFill="1" applyBorder="1" applyAlignment="1" applyProtection="1">
      <alignment horizontal="center"/>
      <protection locked="0"/>
    </xf>
    <xf numFmtId="3" fontId="25" fillId="33" borderId="58" xfId="57" applyNumberFormat="1" applyFont="1" applyFill="1" applyBorder="1">
      <alignment/>
      <protection/>
    </xf>
    <xf numFmtId="3" fontId="26" fillId="33" borderId="61" xfId="57" applyNumberFormat="1" applyFont="1" applyFill="1" applyBorder="1">
      <alignment/>
      <protection/>
    </xf>
    <xf numFmtId="3" fontId="8" fillId="33" borderId="61" xfId="57" applyNumberFormat="1" applyFont="1" applyFill="1" applyBorder="1">
      <alignment/>
      <protection/>
    </xf>
    <xf numFmtId="0" fontId="8" fillId="33" borderId="0" xfId="57" applyFont="1" applyFill="1" applyBorder="1" applyAlignment="1" applyProtection="1">
      <alignment horizontal="center"/>
      <protection locked="0"/>
    </xf>
    <xf numFmtId="0" fontId="19" fillId="0" borderId="0" xfId="57" applyFont="1" applyFill="1" applyProtection="1">
      <alignment/>
      <protection locked="0"/>
    </xf>
    <xf numFmtId="0" fontId="19" fillId="0" borderId="0" xfId="57" applyFont="1" applyFill="1">
      <alignment/>
      <protection/>
    </xf>
    <xf numFmtId="0" fontId="5" fillId="0" borderId="0" xfId="57" applyFont="1" applyFill="1">
      <alignment/>
      <protection/>
    </xf>
    <xf numFmtId="3" fontId="19" fillId="33" borderId="59" xfId="57" applyNumberFormat="1" applyFont="1" applyFill="1" applyBorder="1">
      <alignment/>
      <protection/>
    </xf>
    <xf numFmtId="0" fontId="24" fillId="33" borderId="52" xfId="57" applyFont="1" applyFill="1" applyBorder="1" applyAlignment="1">
      <alignment horizontal="center"/>
      <protection/>
    </xf>
    <xf numFmtId="0" fontId="24" fillId="33" borderId="61" xfId="57" applyFont="1" applyFill="1" applyBorder="1" applyAlignment="1" applyProtection="1">
      <alignment horizontal="center"/>
      <protection locked="0"/>
    </xf>
    <xf numFmtId="0" fontId="24" fillId="33" borderId="54" xfId="57" applyFont="1" applyFill="1" applyBorder="1" applyAlignment="1" applyProtection="1">
      <alignment horizontal="center"/>
      <protection locked="0"/>
    </xf>
    <xf numFmtId="0" fontId="24" fillId="33" borderId="61" xfId="57" applyFont="1" applyFill="1" applyBorder="1" applyAlignment="1" quotePrefix="1">
      <alignment horizontal="center"/>
      <protection/>
    </xf>
    <xf numFmtId="3" fontId="24" fillId="33" borderId="52" xfId="57" applyNumberFormat="1" applyFont="1" applyFill="1" applyBorder="1">
      <alignment/>
      <protection/>
    </xf>
    <xf numFmtId="0" fontId="13" fillId="33" borderId="59" xfId="57" applyFont="1" applyFill="1" applyBorder="1" applyAlignment="1">
      <alignment horizontal="left"/>
      <protection/>
    </xf>
    <xf numFmtId="0" fontId="24" fillId="33" borderId="0" xfId="57" applyFont="1" applyFill="1">
      <alignment/>
      <protection/>
    </xf>
    <xf numFmtId="0" fontId="24" fillId="0" borderId="0" xfId="57" applyFont="1" applyFill="1">
      <alignment/>
      <protection/>
    </xf>
    <xf numFmtId="3" fontId="13" fillId="33" borderId="59" xfId="57" applyNumberFormat="1" applyFont="1" applyFill="1" applyBorder="1">
      <alignment/>
      <protection/>
    </xf>
    <xf numFmtId="0" fontId="13" fillId="33" borderId="61" xfId="57" applyFont="1" applyFill="1" applyBorder="1" applyAlignment="1">
      <alignment horizontal="left"/>
      <protection/>
    </xf>
    <xf numFmtId="0" fontId="26" fillId="33" borderId="54" xfId="57" applyFont="1" applyFill="1" applyBorder="1" applyAlignment="1" applyProtection="1">
      <alignment horizontal="center"/>
      <protection locked="0"/>
    </xf>
    <xf numFmtId="3" fontId="25" fillId="33" borderId="54" xfId="57" applyNumberFormat="1" applyFont="1" applyFill="1" applyBorder="1" applyAlignment="1" applyProtection="1">
      <alignment horizontal="center"/>
      <protection locked="0"/>
    </xf>
    <xf numFmtId="0" fontId="45" fillId="33" borderId="58" xfId="57" applyFont="1" applyFill="1" applyBorder="1">
      <alignment/>
      <protection/>
    </xf>
    <xf numFmtId="3" fontId="24" fillId="33" borderId="61" xfId="57" applyNumberFormat="1" applyFont="1" applyFill="1" applyBorder="1" applyAlignment="1" quotePrefix="1">
      <alignment horizontal="center"/>
      <protection/>
    </xf>
    <xf numFmtId="3" fontId="13" fillId="33" borderId="62" xfId="57" applyNumberFormat="1" applyFont="1" applyFill="1" applyBorder="1">
      <alignment/>
      <protection/>
    </xf>
    <xf numFmtId="0" fontId="25" fillId="33" borderId="58" xfId="57" applyFont="1" applyFill="1" applyBorder="1" applyAlignment="1">
      <alignment horizontal="center"/>
      <protection/>
    </xf>
    <xf numFmtId="3" fontId="25" fillId="33" borderId="61" xfId="57" applyNumberFormat="1" applyFont="1" applyFill="1" applyBorder="1" applyAlignment="1" quotePrefix="1">
      <alignment horizontal="center"/>
      <protection/>
    </xf>
    <xf numFmtId="4" fontId="19" fillId="33" borderId="21" xfId="57" applyNumberFormat="1" applyFont="1" applyFill="1" applyBorder="1">
      <alignment/>
      <protection/>
    </xf>
    <xf numFmtId="0" fontId="8" fillId="33" borderId="0" xfId="57" applyFont="1" applyFill="1" applyBorder="1" applyAlignment="1" quotePrefix="1">
      <alignment horizontal="center"/>
      <protection/>
    </xf>
    <xf numFmtId="0" fontId="25" fillId="33" borderId="71" xfId="57" applyFont="1" applyFill="1" applyBorder="1">
      <alignment/>
      <protection/>
    </xf>
    <xf numFmtId="3" fontId="19" fillId="33" borderId="67" xfId="57" applyNumberFormat="1" applyFont="1" applyFill="1" applyBorder="1">
      <alignment/>
      <protection/>
    </xf>
    <xf numFmtId="3" fontId="19" fillId="33" borderId="21" xfId="57" applyNumberFormat="1" applyFont="1" applyFill="1" applyBorder="1">
      <alignment/>
      <protection/>
    </xf>
    <xf numFmtId="3" fontId="42" fillId="33" borderId="21" xfId="57" applyNumberFormat="1" applyFont="1" applyFill="1" applyBorder="1">
      <alignment/>
      <protection/>
    </xf>
    <xf numFmtId="3" fontId="3" fillId="33" borderId="54" xfId="57" applyNumberFormat="1" applyFont="1" applyFill="1" applyBorder="1">
      <alignment/>
      <protection/>
    </xf>
    <xf numFmtId="3" fontId="3" fillId="33" borderId="68" xfId="57" applyNumberFormat="1" applyFont="1" applyFill="1" applyBorder="1">
      <alignment/>
      <protection/>
    </xf>
    <xf numFmtId="3" fontId="25" fillId="33" borderId="68" xfId="57" applyNumberFormat="1" applyFont="1" applyFill="1" applyBorder="1">
      <alignment/>
      <protection/>
    </xf>
    <xf numFmtId="3" fontId="25" fillId="33" borderId="69" xfId="57" applyNumberFormat="1" applyFont="1" applyFill="1" applyBorder="1">
      <alignment/>
      <protection/>
    </xf>
    <xf numFmtId="3" fontId="26" fillId="33" borderId="67" xfId="57" applyNumberFormat="1" applyFont="1" applyFill="1" applyBorder="1">
      <alignment/>
      <protection/>
    </xf>
    <xf numFmtId="3" fontId="8" fillId="33" borderId="32" xfId="57" applyNumberFormat="1" applyFont="1" applyFill="1" applyBorder="1">
      <alignment/>
      <protection/>
    </xf>
    <xf numFmtId="0" fontId="8" fillId="33" borderId="85" xfId="57" applyFont="1" applyFill="1" applyBorder="1" applyAlignment="1">
      <alignment horizontal="center"/>
      <protection/>
    </xf>
    <xf numFmtId="0" fontId="8" fillId="33" borderId="10" xfId="57" applyFont="1" applyFill="1" applyBorder="1" applyAlignment="1" applyProtection="1">
      <alignment horizontal="center"/>
      <protection locked="0"/>
    </xf>
    <xf numFmtId="0" fontId="8" fillId="33" borderId="45" xfId="57" applyFont="1" applyFill="1" applyBorder="1" applyAlignment="1" applyProtection="1">
      <alignment horizontal="center"/>
      <protection locked="0"/>
    </xf>
    <xf numFmtId="0" fontId="8" fillId="33" borderId="10" xfId="57" applyFont="1" applyFill="1" applyBorder="1" applyAlignment="1" quotePrefix="1">
      <alignment horizontal="center"/>
      <protection/>
    </xf>
    <xf numFmtId="0" fontId="25" fillId="33" borderId="31" xfId="57" applyFont="1" applyFill="1" applyBorder="1">
      <alignment/>
      <protection/>
    </xf>
    <xf numFmtId="3" fontId="3" fillId="33" borderId="10" xfId="57" applyNumberFormat="1" applyFont="1" applyFill="1" applyBorder="1">
      <alignment/>
      <protection/>
    </xf>
    <xf numFmtId="3" fontId="3" fillId="33" borderId="29" xfId="57" applyNumberFormat="1" applyFont="1" applyFill="1" applyBorder="1">
      <alignment/>
      <protection/>
    </xf>
    <xf numFmtId="3" fontId="25" fillId="33" borderId="29" xfId="57" applyNumberFormat="1" applyFont="1" applyFill="1" applyBorder="1">
      <alignment/>
      <protection/>
    </xf>
    <xf numFmtId="3" fontId="25" fillId="33" borderId="29" xfId="57" applyNumberFormat="1" applyFont="1" applyFill="1" applyBorder="1">
      <alignment/>
      <protection/>
    </xf>
    <xf numFmtId="3" fontId="25" fillId="33" borderId="83" xfId="57" applyNumberFormat="1" applyFont="1" applyFill="1" applyBorder="1">
      <alignment/>
      <protection/>
    </xf>
    <xf numFmtId="3" fontId="26" fillId="33" borderId="75" xfId="57" applyNumberFormat="1" applyFont="1" applyFill="1" applyBorder="1">
      <alignment/>
      <protection/>
    </xf>
    <xf numFmtId="4" fontId="19" fillId="33" borderId="32" xfId="57" applyNumberFormat="1" applyFont="1" applyFill="1" applyBorder="1">
      <alignment/>
      <protection/>
    </xf>
    <xf numFmtId="3" fontId="19" fillId="33" borderId="50" xfId="57" applyNumberFormat="1" applyFont="1" applyFill="1" applyBorder="1">
      <alignment/>
      <protection/>
    </xf>
    <xf numFmtId="3" fontId="5" fillId="33" borderId="61" xfId="57" applyNumberFormat="1" applyFont="1" applyFill="1" applyBorder="1">
      <alignment/>
      <protection/>
    </xf>
    <xf numFmtId="3" fontId="3" fillId="33" borderId="53" xfId="57" applyNumberFormat="1" applyFont="1" applyFill="1" applyBorder="1">
      <alignment/>
      <protection/>
    </xf>
    <xf numFmtId="3" fontId="3" fillId="33" borderId="61" xfId="57" applyNumberFormat="1" applyFont="1" applyFill="1" applyBorder="1">
      <alignment/>
      <protection/>
    </xf>
    <xf numFmtId="3" fontId="19" fillId="33" borderId="68" xfId="57" applyNumberFormat="1" applyFont="1" applyFill="1" applyBorder="1">
      <alignment/>
      <protection/>
    </xf>
    <xf numFmtId="3" fontId="19" fillId="33" borderId="52" xfId="57" applyNumberFormat="1" applyFont="1" applyFill="1" applyBorder="1">
      <alignment/>
      <protection/>
    </xf>
    <xf numFmtId="3" fontId="8" fillId="33" borderId="60" xfId="57" applyNumberFormat="1" applyFont="1" applyFill="1" applyBorder="1">
      <alignment/>
      <protection/>
    </xf>
    <xf numFmtId="3" fontId="36" fillId="33" borderId="58" xfId="57" applyNumberFormat="1" applyFont="1" applyFill="1" applyBorder="1">
      <alignment/>
      <protection/>
    </xf>
    <xf numFmtId="3" fontId="19" fillId="33" borderId="62" xfId="57" applyNumberFormat="1" applyFont="1" applyFill="1" applyBorder="1">
      <alignment/>
      <protection/>
    </xf>
    <xf numFmtId="0" fontId="19" fillId="33" borderId="54" xfId="57" applyFont="1" applyFill="1" applyBorder="1" applyAlignment="1" applyProtection="1">
      <alignment horizontal="center"/>
      <protection locked="0"/>
    </xf>
    <xf numFmtId="0" fontId="19" fillId="33" borderId="61" xfId="57" applyFont="1" applyFill="1" applyBorder="1" applyAlignment="1" quotePrefix="1">
      <alignment horizontal="center"/>
      <protection/>
    </xf>
    <xf numFmtId="3" fontId="24" fillId="33" borderId="60" xfId="57" applyNumberFormat="1" applyFont="1" applyFill="1" applyBorder="1">
      <alignment/>
      <protection/>
    </xf>
    <xf numFmtId="3" fontId="8" fillId="33" borderId="62" xfId="57" applyNumberFormat="1" applyFont="1" applyFill="1" applyBorder="1">
      <alignment/>
      <protection/>
    </xf>
    <xf numFmtId="3" fontId="13" fillId="33" borderId="53" xfId="57" applyNumberFormat="1" applyFont="1" applyFill="1" applyBorder="1">
      <alignment/>
      <protection/>
    </xf>
    <xf numFmtId="3" fontId="24" fillId="33" borderId="62" xfId="57" applyNumberFormat="1" applyFont="1" applyFill="1" applyBorder="1">
      <alignment/>
      <protection/>
    </xf>
    <xf numFmtId="3" fontId="5" fillId="33" borderId="53" xfId="57" applyNumberFormat="1" applyFont="1" applyFill="1" applyBorder="1">
      <alignment/>
      <protection/>
    </xf>
    <xf numFmtId="3" fontId="25" fillId="33" borderId="58" xfId="57" applyNumberFormat="1" applyFont="1" applyFill="1" applyBorder="1">
      <alignment/>
      <protection/>
    </xf>
    <xf numFmtId="3" fontId="3" fillId="33" borderId="23" xfId="57" applyNumberFormat="1" applyFont="1" applyFill="1" applyBorder="1">
      <alignment/>
      <protection/>
    </xf>
    <xf numFmtId="3" fontId="25" fillId="33" borderId="60" xfId="57" applyNumberFormat="1" applyFont="1" applyFill="1" applyBorder="1">
      <alignment/>
      <protection/>
    </xf>
    <xf numFmtId="3" fontId="25" fillId="33" borderId="62" xfId="57" applyNumberFormat="1" applyFont="1" applyFill="1" applyBorder="1">
      <alignment/>
      <protection/>
    </xf>
    <xf numFmtId="0" fontId="5" fillId="33" borderId="52" xfId="57" applyFont="1" applyFill="1" applyBorder="1" applyAlignment="1">
      <alignment horizontal="center"/>
      <protection/>
    </xf>
    <xf numFmtId="0" fontId="5" fillId="33" borderId="61" xfId="57" applyFont="1" applyFill="1" applyBorder="1" applyAlignment="1" applyProtection="1">
      <alignment horizontal="center"/>
      <protection locked="0"/>
    </xf>
    <xf numFmtId="0" fontId="5" fillId="33" borderId="54" xfId="57" applyFont="1" applyFill="1" applyBorder="1" applyAlignment="1" applyProtection="1">
      <alignment horizontal="center"/>
      <protection locked="0"/>
    </xf>
    <xf numFmtId="0" fontId="5" fillId="33" borderId="61" xfId="57" applyFont="1" applyFill="1" applyBorder="1" applyAlignment="1" quotePrefix="1">
      <alignment horizontal="center"/>
      <protection/>
    </xf>
    <xf numFmtId="3" fontId="31" fillId="33" borderId="60" xfId="57" applyNumberFormat="1" applyFont="1" applyFill="1" applyBorder="1">
      <alignment/>
      <protection/>
    </xf>
    <xf numFmtId="3" fontId="31" fillId="33" borderId="58" xfId="57" applyNumberFormat="1" applyFont="1" applyFill="1" applyBorder="1">
      <alignment/>
      <protection/>
    </xf>
    <xf numFmtId="0" fontId="16" fillId="33" borderId="0" xfId="57" applyFont="1" applyFill="1">
      <alignment/>
      <protection/>
    </xf>
    <xf numFmtId="0" fontId="16" fillId="0" borderId="0" xfId="57" applyFont="1" applyFill="1">
      <alignment/>
      <protection/>
    </xf>
    <xf numFmtId="0" fontId="25" fillId="33" borderId="52" xfId="57" applyFont="1" applyFill="1" applyBorder="1" applyAlignment="1">
      <alignment horizontal="center"/>
      <protection/>
    </xf>
    <xf numFmtId="0" fontId="25" fillId="33" borderId="61" xfId="57" applyFont="1" applyFill="1" applyBorder="1" applyAlignment="1" applyProtection="1">
      <alignment horizontal="center"/>
      <protection locked="0"/>
    </xf>
    <xf numFmtId="0" fontId="25" fillId="33" borderId="54" xfId="57" applyFont="1" applyFill="1" applyBorder="1" applyAlignment="1" applyProtection="1">
      <alignment horizontal="center"/>
      <protection locked="0"/>
    </xf>
    <xf numFmtId="0" fontId="25" fillId="33" borderId="61" xfId="57" applyFont="1" applyFill="1" applyBorder="1" applyAlignment="1" quotePrefix="1">
      <alignment horizontal="center"/>
      <protection/>
    </xf>
    <xf numFmtId="0" fontId="25" fillId="33" borderId="0" xfId="57" applyFont="1" applyFill="1">
      <alignment/>
      <protection/>
    </xf>
    <xf numFmtId="0" fontId="25" fillId="0" borderId="0" xfId="57" applyFont="1" applyFill="1">
      <alignment/>
      <protection/>
    </xf>
    <xf numFmtId="3" fontId="8" fillId="33" borderId="61" xfId="57" applyNumberFormat="1" applyFont="1" applyFill="1" applyBorder="1">
      <alignment/>
      <protection/>
    </xf>
    <xf numFmtId="0" fontId="25" fillId="33" borderId="53" xfId="57" applyFont="1" applyFill="1" applyBorder="1" applyAlignment="1">
      <alignment horizontal="center"/>
      <protection/>
    </xf>
    <xf numFmtId="0" fontId="19" fillId="33" borderId="53" xfId="57" applyFont="1" applyFill="1" applyBorder="1" applyAlignment="1" applyProtection="1">
      <alignment horizontal="center"/>
      <protection locked="0"/>
    </xf>
    <xf numFmtId="3" fontId="25" fillId="33" borderId="59" xfId="57" applyNumberFormat="1" applyFont="1" applyFill="1" applyBorder="1">
      <alignment/>
      <protection/>
    </xf>
    <xf numFmtId="0" fontId="8" fillId="33" borderId="61" xfId="57" applyFont="1" applyFill="1" applyBorder="1" applyAlignment="1">
      <alignment horizontal="center"/>
      <protection/>
    </xf>
    <xf numFmtId="0" fontId="19" fillId="33" borderId="0" xfId="57" applyFont="1" applyFill="1">
      <alignment/>
      <protection/>
    </xf>
    <xf numFmtId="0" fontId="3" fillId="33" borderId="54" xfId="57" applyFont="1" applyFill="1" applyBorder="1" applyAlignment="1" applyProtection="1">
      <alignment horizontal="center"/>
      <protection locked="0"/>
    </xf>
    <xf numFmtId="3" fontId="26" fillId="33" borderId="62" xfId="57" applyNumberFormat="1" applyFont="1" applyFill="1" applyBorder="1">
      <alignment/>
      <protection/>
    </xf>
    <xf numFmtId="3" fontId="25" fillId="33" borderId="61" xfId="57" applyNumberFormat="1" applyFont="1" applyFill="1" applyBorder="1">
      <alignment/>
      <protection/>
    </xf>
    <xf numFmtId="3" fontId="8" fillId="33" borderId="59" xfId="57" applyNumberFormat="1" applyFont="1" applyFill="1" applyBorder="1">
      <alignment/>
      <protection/>
    </xf>
    <xf numFmtId="0" fontId="8" fillId="33" borderId="0" xfId="57" applyFont="1" applyFill="1">
      <alignment/>
      <protection/>
    </xf>
    <xf numFmtId="3" fontId="3" fillId="33" borderId="14" xfId="57" applyNumberFormat="1" applyFont="1" applyFill="1" applyBorder="1">
      <alignment/>
      <protection/>
    </xf>
    <xf numFmtId="3" fontId="26" fillId="33" borderId="53" xfId="57" applyNumberFormat="1" applyFont="1" applyFill="1" applyBorder="1">
      <alignment/>
      <protection/>
    </xf>
    <xf numFmtId="3" fontId="19" fillId="33" borderId="52" xfId="57" applyNumberFormat="1" applyFont="1" applyFill="1" applyBorder="1">
      <alignment/>
      <protection/>
    </xf>
    <xf numFmtId="0" fontId="19" fillId="33" borderId="59" xfId="57" applyFont="1" applyFill="1" applyBorder="1" applyAlignment="1">
      <alignment horizontal="left"/>
      <protection/>
    </xf>
    <xf numFmtId="3" fontId="5" fillId="33" borderId="59" xfId="57" applyNumberFormat="1" applyFont="1" applyFill="1" applyBorder="1">
      <alignment/>
      <protection/>
    </xf>
    <xf numFmtId="3" fontId="42" fillId="33" borderId="53" xfId="57" applyNumberFormat="1" applyFont="1" applyFill="1" applyBorder="1">
      <alignment/>
      <protection/>
    </xf>
    <xf numFmtId="3" fontId="13" fillId="33" borderId="59" xfId="57" applyNumberFormat="1" applyFont="1" applyFill="1" applyBorder="1">
      <alignment/>
      <protection/>
    </xf>
    <xf numFmtId="3" fontId="24" fillId="33" borderId="61" xfId="57" applyNumberFormat="1" applyFont="1" applyFill="1" applyBorder="1" applyAlignment="1" quotePrefix="1">
      <alignment horizontal="center"/>
      <protection/>
    </xf>
    <xf numFmtId="3" fontId="25" fillId="33" borderId="60" xfId="57" applyNumberFormat="1" applyFont="1" applyFill="1" applyBorder="1">
      <alignment/>
      <protection/>
    </xf>
    <xf numFmtId="0" fontId="19" fillId="33" borderId="53" xfId="57" applyFont="1" applyFill="1" applyBorder="1">
      <alignment/>
      <protection/>
    </xf>
    <xf numFmtId="0" fontId="16" fillId="33" borderId="15" xfId="57" applyFont="1" applyFill="1" applyBorder="1" applyProtection="1">
      <alignment/>
      <protection locked="0"/>
    </xf>
    <xf numFmtId="3" fontId="3" fillId="33" borderId="62" xfId="57" applyNumberFormat="1" applyFont="1" applyFill="1" applyBorder="1">
      <alignment/>
      <protection/>
    </xf>
    <xf numFmtId="0" fontId="19" fillId="33" borderId="0" xfId="57" applyFont="1" applyFill="1" applyBorder="1">
      <alignment/>
      <protection/>
    </xf>
    <xf numFmtId="3" fontId="3" fillId="33" borderId="63" xfId="57" applyNumberFormat="1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8" fillId="33" borderId="71" xfId="57" applyFont="1" applyFill="1" applyBorder="1">
      <alignment/>
      <protection/>
    </xf>
    <xf numFmtId="0" fontId="25" fillId="33" borderId="49" xfId="57" applyFont="1" applyFill="1" applyBorder="1" applyAlignment="1">
      <alignment horizontal="center"/>
      <protection/>
    </xf>
    <xf numFmtId="0" fontId="25" fillId="33" borderId="57" xfId="57" applyFont="1" applyFill="1" applyBorder="1" applyAlignment="1" applyProtection="1">
      <alignment horizontal="center"/>
      <protection locked="0"/>
    </xf>
    <xf numFmtId="0" fontId="25" fillId="33" borderId="51" xfId="57" applyFont="1" applyFill="1" applyBorder="1" applyAlignment="1" applyProtection="1">
      <alignment horizontal="center"/>
      <protection locked="0"/>
    </xf>
    <xf numFmtId="0" fontId="25" fillId="33" borderId="57" xfId="57" applyFont="1" applyFill="1" applyBorder="1" applyAlignment="1" quotePrefix="1">
      <alignment horizontal="center"/>
      <protection/>
    </xf>
    <xf numFmtId="0" fontId="25" fillId="33" borderId="11" xfId="57" applyFont="1" applyFill="1" applyBorder="1">
      <alignment/>
      <protection/>
    </xf>
    <xf numFmtId="3" fontId="42" fillId="33" borderId="40" xfId="57" applyNumberFormat="1" applyFont="1" applyFill="1" applyBorder="1">
      <alignment/>
      <protection/>
    </xf>
    <xf numFmtId="3" fontId="25" fillId="33" borderId="29" xfId="57" applyNumberFormat="1" applyFont="1" applyFill="1" applyBorder="1">
      <alignment/>
      <protection/>
    </xf>
    <xf numFmtId="3" fontId="25" fillId="33" borderId="61" xfId="57" applyNumberFormat="1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25" fillId="33" borderId="59" xfId="57" applyFont="1" applyFill="1" applyBorder="1" applyAlignment="1">
      <alignment horizontal="center"/>
      <protection/>
    </xf>
    <xf numFmtId="0" fontId="25" fillId="33" borderId="59" xfId="57" applyFont="1" applyFill="1" applyBorder="1" applyAlignment="1" applyProtection="1">
      <alignment horizontal="center"/>
      <protection locked="0"/>
    </xf>
    <xf numFmtId="0" fontId="25" fillId="33" borderId="53" xfId="57" applyFont="1" applyFill="1" applyBorder="1" applyAlignment="1" applyProtection="1">
      <alignment horizontal="center"/>
      <protection locked="0"/>
    </xf>
    <xf numFmtId="0" fontId="25" fillId="33" borderId="53" xfId="57" applyFont="1" applyFill="1" applyBorder="1" applyAlignment="1" quotePrefix="1">
      <alignment horizontal="center"/>
      <protection/>
    </xf>
    <xf numFmtId="0" fontId="25" fillId="33" borderId="50" xfId="57" applyFont="1" applyFill="1" applyBorder="1">
      <alignment/>
      <protection/>
    </xf>
    <xf numFmtId="3" fontId="42" fillId="33" borderId="34" xfId="57" applyNumberFormat="1" applyFont="1" applyFill="1" applyBorder="1">
      <alignment/>
      <protection/>
    </xf>
    <xf numFmtId="3" fontId="26" fillId="33" borderId="63" xfId="57" applyNumberFormat="1" applyFont="1" applyFill="1" applyBorder="1">
      <alignment/>
      <protection/>
    </xf>
    <xf numFmtId="3" fontId="25" fillId="33" borderId="34" xfId="57" applyNumberFormat="1" applyFont="1" applyFill="1" applyBorder="1">
      <alignment/>
      <protection/>
    </xf>
    <xf numFmtId="0" fontId="25" fillId="40" borderId="0" xfId="57" applyFont="1" applyFill="1" applyBorder="1">
      <alignment/>
      <protection/>
    </xf>
    <xf numFmtId="0" fontId="25" fillId="33" borderId="67" xfId="57" applyFont="1" applyFill="1" applyBorder="1" applyAlignment="1">
      <alignment horizontal="center"/>
      <protection/>
    </xf>
    <xf numFmtId="0" fontId="25" fillId="33" borderId="67" xfId="57" applyFont="1" applyFill="1" applyBorder="1" applyAlignment="1" applyProtection="1">
      <alignment horizontal="center"/>
      <protection locked="0"/>
    </xf>
    <xf numFmtId="0" fontId="25" fillId="33" borderId="21" xfId="57" applyFont="1" applyFill="1" applyBorder="1" applyAlignment="1" applyProtection="1">
      <alignment horizontal="center"/>
      <protection locked="0"/>
    </xf>
    <xf numFmtId="0" fontId="25" fillId="33" borderId="21" xfId="57" applyFont="1" applyFill="1" applyBorder="1" applyAlignment="1" quotePrefix="1">
      <alignment horizontal="center"/>
      <protection/>
    </xf>
    <xf numFmtId="0" fontId="25" fillId="33" borderId="67" xfId="57" applyFont="1" applyFill="1" applyBorder="1">
      <alignment/>
      <protection/>
    </xf>
    <xf numFmtId="3" fontId="26" fillId="33" borderId="72" xfId="57" applyNumberFormat="1" applyFont="1" applyFill="1" applyBorder="1">
      <alignment/>
      <protection/>
    </xf>
    <xf numFmtId="3" fontId="26" fillId="33" borderId="21" xfId="57" applyNumberFormat="1" applyFont="1" applyFill="1" applyBorder="1">
      <alignment/>
      <protection/>
    </xf>
    <xf numFmtId="3" fontId="25" fillId="33" borderId="53" xfId="57" applyNumberFormat="1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16" fillId="33" borderId="18" xfId="57" applyFont="1" applyFill="1" applyBorder="1">
      <alignment/>
      <protection/>
    </xf>
    <xf numFmtId="0" fontId="16" fillId="33" borderId="19" xfId="57" applyFont="1" applyFill="1" applyBorder="1" applyProtection="1">
      <alignment/>
      <protection locked="0"/>
    </xf>
    <xf numFmtId="0" fontId="16" fillId="33" borderId="38" xfId="57" applyFont="1" applyFill="1" applyBorder="1" applyAlignment="1" applyProtection="1">
      <alignment horizontal="center"/>
      <protection locked="0"/>
    </xf>
    <xf numFmtId="0" fontId="16" fillId="33" borderId="19" xfId="57" applyFont="1" applyFill="1" applyBorder="1" applyAlignment="1">
      <alignment horizontal="center"/>
      <protection/>
    </xf>
    <xf numFmtId="3" fontId="13" fillId="33" borderId="20" xfId="57" applyNumberFormat="1" applyFont="1" applyFill="1" applyBorder="1">
      <alignment/>
      <protection/>
    </xf>
    <xf numFmtId="3" fontId="13" fillId="33" borderId="33" xfId="57" applyNumberFormat="1" applyFont="1" applyFill="1" applyBorder="1">
      <alignment/>
      <protection/>
    </xf>
    <xf numFmtId="3" fontId="24" fillId="33" borderId="29" xfId="57" applyNumberFormat="1" applyFont="1" applyFill="1" applyBorder="1">
      <alignment/>
      <protection/>
    </xf>
    <xf numFmtId="3" fontId="24" fillId="33" borderId="30" xfId="57" applyNumberFormat="1" applyFont="1" applyFill="1" applyBorder="1">
      <alignment/>
      <protection/>
    </xf>
    <xf numFmtId="3" fontId="20" fillId="33" borderId="62" xfId="57" applyNumberFormat="1" applyFont="1" applyFill="1" applyBorder="1">
      <alignment/>
      <protection/>
    </xf>
    <xf numFmtId="3" fontId="20" fillId="33" borderId="61" xfId="57" applyNumberFormat="1" applyFont="1" applyFill="1" applyBorder="1">
      <alignment/>
      <protection/>
    </xf>
    <xf numFmtId="3" fontId="7" fillId="33" borderId="40" xfId="57" applyNumberFormat="1" applyFont="1" applyFill="1" applyBorder="1">
      <alignment/>
      <protection/>
    </xf>
    <xf numFmtId="0" fontId="20" fillId="33" borderId="0" xfId="57" applyFont="1" applyFill="1">
      <alignment/>
      <protection/>
    </xf>
    <xf numFmtId="0" fontId="20" fillId="0" borderId="0" xfId="57" applyFont="1" applyFill="1">
      <alignment/>
      <protection/>
    </xf>
    <xf numFmtId="0" fontId="19" fillId="33" borderId="49" xfId="57" applyFont="1" applyFill="1" applyBorder="1">
      <alignment/>
      <protection/>
    </xf>
    <xf numFmtId="0" fontId="19" fillId="33" borderId="57" xfId="57" applyFont="1" applyFill="1" applyBorder="1" applyProtection="1">
      <alignment/>
      <protection locked="0"/>
    </xf>
    <xf numFmtId="0" fontId="19" fillId="33" borderId="57" xfId="57" applyFont="1" applyFill="1" applyBorder="1" applyAlignment="1">
      <alignment horizontal="center"/>
      <protection/>
    </xf>
    <xf numFmtId="0" fontId="8" fillId="33" borderId="49" xfId="57" applyFont="1" applyFill="1" applyBorder="1">
      <alignment/>
      <protection/>
    </xf>
    <xf numFmtId="3" fontId="26" fillId="33" borderId="57" xfId="57" applyNumberFormat="1" applyFont="1" applyFill="1" applyBorder="1">
      <alignment/>
      <protection/>
    </xf>
    <xf numFmtId="3" fontId="8" fillId="33" borderId="23" xfId="57" applyNumberFormat="1" applyFont="1" applyFill="1" applyBorder="1">
      <alignment/>
      <protection/>
    </xf>
    <xf numFmtId="3" fontId="8" fillId="33" borderId="64" xfId="57" applyNumberFormat="1" applyFont="1" applyFill="1" applyBorder="1">
      <alignment/>
      <protection/>
    </xf>
    <xf numFmtId="3" fontId="8" fillId="33" borderId="63" xfId="57" applyNumberFormat="1" applyFont="1" applyFill="1" applyBorder="1">
      <alignment/>
      <protection/>
    </xf>
    <xf numFmtId="0" fontId="25" fillId="33" borderId="0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24" fillId="33" borderId="58" xfId="57" applyFont="1" applyFill="1" applyBorder="1">
      <alignment/>
      <protection/>
    </xf>
    <xf numFmtId="0" fontId="24" fillId="33" borderId="61" xfId="57" applyFont="1" applyFill="1" applyBorder="1" applyProtection="1">
      <alignment/>
      <protection locked="0"/>
    </xf>
    <xf numFmtId="16" fontId="24" fillId="33" borderId="54" xfId="57" applyNumberFormat="1" applyFont="1" applyFill="1" applyBorder="1" applyAlignment="1" applyProtection="1">
      <alignment horizontal="center"/>
      <protection locked="0"/>
    </xf>
    <xf numFmtId="0" fontId="24" fillId="33" borderId="61" xfId="57" applyFont="1" applyFill="1" applyBorder="1" applyAlignment="1">
      <alignment horizontal="center"/>
      <protection/>
    </xf>
    <xf numFmtId="0" fontId="24" fillId="33" borderId="0" xfId="57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19" fillId="33" borderId="58" xfId="57" applyFont="1" applyFill="1" applyBorder="1">
      <alignment/>
      <protection/>
    </xf>
    <xf numFmtId="0" fontId="19" fillId="33" borderId="61" xfId="57" applyFont="1" applyFill="1" applyBorder="1" applyProtection="1">
      <alignment/>
      <protection locked="0"/>
    </xf>
    <xf numFmtId="0" fontId="19" fillId="33" borderId="61" xfId="57" applyFont="1" applyFill="1" applyBorder="1" applyAlignment="1">
      <alignment horizontal="center"/>
      <protection/>
    </xf>
    <xf numFmtId="3" fontId="25" fillId="33" borderId="62" xfId="57" applyNumberFormat="1" applyFont="1" applyFill="1" applyBorder="1">
      <alignment/>
      <protection/>
    </xf>
    <xf numFmtId="3" fontId="5" fillId="33" borderId="61" xfId="57" applyNumberFormat="1" applyFont="1" applyFill="1" applyBorder="1" applyAlignment="1">
      <alignment horizontal="left"/>
      <protection/>
    </xf>
    <xf numFmtId="3" fontId="5" fillId="33" borderId="60" xfId="57" applyNumberFormat="1" applyFont="1" applyFill="1" applyBorder="1" applyAlignment="1">
      <alignment horizontal="left"/>
      <protection/>
    </xf>
    <xf numFmtId="3" fontId="19" fillId="33" borderId="60" xfId="57" applyNumberFormat="1" applyFont="1" applyFill="1" applyBorder="1" applyAlignment="1">
      <alignment horizontal="left"/>
      <protection/>
    </xf>
    <xf numFmtId="3" fontId="19" fillId="33" borderId="62" xfId="57" applyNumberFormat="1" applyFont="1" applyFill="1" applyBorder="1" applyAlignment="1">
      <alignment horizontal="left"/>
      <protection/>
    </xf>
    <xf numFmtId="3" fontId="19" fillId="33" borderId="61" xfId="57" applyNumberFormat="1" applyFont="1" applyFill="1" applyBorder="1" applyAlignment="1">
      <alignment horizontal="left"/>
      <protection/>
    </xf>
    <xf numFmtId="0" fontId="19" fillId="33" borderId="58" xfId="57" applyFont="1" applyFill="1" applyBorder="1">
      <alignment/>
      <protection/>
    </xf>
    <xf numFmtId="0" fontId="19" fillId="33" borderId="61" xfId="57" applyFont="1" applyFill="1" applyBorder="1" applyProtection="1">
      <alignment/>
      <protection locked="0"/>
    </xf>
    <xf numFmtId="16" fontId="19" fillId="33" borderId="54" xfId="57" applyNumberFormat="1" applyFont="1" applyFill="1" applyBorder="1" applyAlignment="1" applyProtection="1">
      <alignment horizontal="center"/>
      <protection locked="0"/>
    </xf>
    <xf numFmtId="0" fontId="19" fillId="33" borderId="61" xfId="57" applyFont="1" applyFill="1" applyBorder="1" applyAlignment="1">
      <alignment horizontal="center"/>
      <protection/>
    </xf>
    <xf numFmtId="0" fontId="25" fillId="33" borderId="0" xfId="57" applyFont="1" applyFill="1" applyBorder="1">
      <alignment/>
      <protection/>
    </xf>
    <xf numFmtId="3" fontId="13" fillId="33" borderId="61" xfId="57" applyNumberFormat="1" applyFont="1" applyFill="1" applyBorder="1" applyAlignment="1">
      <alignment horizontal="left"/>
      <protection/>
    </xf>
    <xf numFmtId="3" fontId="13" fillId="33" borderId="60" xfId="57" applyNumberFormat="1" applyFont="1" applyFill="1" applyBorder="1" applyAlignment="1">
      <alignment horizontal="left"/>
      <protection/>
    </xf>
    <xf numFmtId="3" fontId="24" fillId="33" borderId="60" xfId="57" applyNumberFormat="1" applyFont="1" applyFill="1" applyBorder="1" applyAlignment="1">
      <alignment horizontal="left"/>
      <protection/>
    </xf>
    <xf numFmtId="3" fontId="24" fillId="33" borderId="62" xfId="57" applyNumberFormat="1" applyFont="1" applyFill="1" applyBorder="1" applyAlignment="1">
      <alignment horizontal="left"/>
      <protection/>
    </xf>
    <xf numFmtId="3" fontId="24" fillId="33" borderId="61" xfId="57" applyNumberFormat="1" applyFont="1" applyFill="1" applyBorder="1" applyAlignment="1">
      <alignment horizontal="left"/>
      <protection/>
    </xf>
    <xf numFmtId="4" fontId="3" fillId="33" borderId="61" xfId="57" applyNumberFormat="1" applyFont="1" applyFill="1" applyBorder="1">
      <alignment/>
      <protection/>
    </xf>
    <xf numFmtId="4" fontId="3" fillId="33" borderId="60" xfId="57" applyNumberFormat="1" applyFont="1" applyFill="1" applyBorder="1">
      <alignment/>
      <protection/>
    </xf>
    <xf numFmtId="4" fontId="8" fillId="33" borderId="60" xfId="57" applyNumberFormat="1" applyFont="1" applyFill="1" applyBorder="1">
      <alignment/>
      <protection/>
    </xf>
    <xf numFmtId="4" fontId="8" fillId="33" borderId="62" xfId="57" applyNumberFormat="1" applyFont="1" applyFill="1" applyBorder="1">
      <alignment/>
      <protection/>
    </xf>
    <xf numFmtId="4" fontId="8" fillId="33" borderId="61" xfId="57" applyNumberFormat="1" applyFont="1" applyFill="1" applyBorder="1">
      <alignment/>
      <protection/>
    </xf>
    <xf numFmtId="4" fontId="26" fillId="33" borderId="61" xfId="57" applyNumberFormat="1" applyFont="1" applyFill="1" applyBorder="1">
      <alignment/>
      <protection/>
    </xf>
    <xf numFmtId="4" fontId="26" fillId="33" borderId="60" xfId="57" applyNumberFormat="1" applyFont="1" applyFill="1" applyBorder="1">
      <alignment/>
      <protection/>
    </xf>
    <xf numFmtId="4" fontId="25" fillId="33" borderId="60" xfId="57" applyNumberFormat="1" applyFont="1" applyFill="1" applyBorder="1">
      <alignment/>
      <protection/>
    </xf>
    <xf numFmtId="4" fontId="25" fillId="33" borderId="62" xfId="57" applyNumberFormat="1" applyFont="1" applyFill="1" applyBorder="1">
      <alignment/>
      <protection/>
    </xf>
    <xf numFmtId="4" fontId="25" fillId="33" borderId="61" xfId="57" applyNumberFormat="1" applyFont="1" applyFill="1" applyBorder="1">
      <alignment/>
      <protection/>
    </xf>
    <xf numFmtId="0" fontId="8" fillId="33" borderId="58" xfId="57" applyFont="1" applyFill="1" applyBorder="1">
      <alignment/>
      <protection/>
    </xf>
    <xf numFmtId="0" fontId="8" fillId="33" borderId="61" xfId="57" applyFont="1" applyFill="1" applyBorder="1" applyProtection="1">
      <alignment/>
      <protection locked="0"/>
    </xf>
    <xf numFmtId="0" fontId="25" fillId="33" borderId="58" xfId="57" applyFont="1" applyFill="1" applyBorder="1">
      <alignment/>
      <protection/>
    </xf>
    <xf numFmtId="0" fontId="25" fillId="33" borderId="61" xfId="57" applyFont="1" applyFill="1" applyBorder="1" applyProtection="1">
      <alignment/>
      <protection locked="0"/>
    </xf>
    <xf numFmtId="14" fontId="25" fillId="33" borderId="54" xfId="57" applyNumberFormat="1" applyFont="1" applyFill="1" applyBorder="1" applyAlignment="1" applyProtection="1">
      <alignment horizontal="center"/>
      <protection locked="0"/>
    </xf>
    <xf numFmtId="165" fontId="26" fillId="33" borderId="61" xfId="57" applyNumberFormat="1" applyFont="1" applyFill="1" applyBorder="1">
      <alignment/>
      <protection/>
    </xf>
    <xf numFmtId="165" fontId="26" fillId="33" borderId="60" xfId="57" applyNumberFormat="1" applyFont="1" applyFill="1" applyBorder="1">
      <alignment/>
      <protection/>
    </xf>
    <xf numFmtId="165" fontId="25" fillId="33" borderId="60" xfId="57" applyNumberFormat="1" applyFont="1" applyFill="1" applyBorder="1">
      <alignment/>
      <protection/>
    </xf>
    <xf numFmtId="165" fontId="25" fillId="33" borderId="62" xfId="57" applyNumberFormat="1" applyFont="1" applyFill="1" applyBorder="1">
      <alignment/>
      <protection/>
    </xf>
    <xf numFmtId="165" fontId="25" fillId="33" borderId="61" xfId="57" applyNumberFormat="1" applyFont="1" applyFill="1" applyBorder="1">
      <alignment/>
      <protection/>
    </xf>
    <xf numFmtId="3" fontId="3" fillId="33" borderId="60" xfId="57" applyNumberFormat="1" applyFont="1" applyFill="1" applyBorder="1">
      <alignment/>
      <protection/>
    </xf>
    <xf numFmtId="3" fontId="3" fillId="33" borderId="62" xfId="57" applyNumberFormat="1" applyFont="1" applyFill="1" applyBorder="1">
      <alignment/>
      <protection/>
    </xf>
    <xf numFmtId="0" fontId="8" fillId="33" borderId="0" xfId="57" applyFont="1" applyFill="1" applyBorder="1">
      <alignment/>
      <protection/>
    </xf>
    <xf numFmtId="0" fontId="19" fillId="33" borderId="71" xfId="57" applyFont="1" applyFill="1" applyBorder="1">
      <alignment/>
      <protection/>
    </xf>
    <xf numFmtId="0" fontId="19" fillId="33" borderId="69" xfId="57" applyFont="1" applyFill="1" applyBorder="1" applyProtection="1">
      <alignment/>
      <protection locked="0"/>
    </xf>
    <xf numFmtId="0" fontId="19" fillId="33" borderId="73" xfId="57" applyFont="1" applyFill="1" applyBorder="1" applyAlignment="1" applyProtection="1">
      <alignment horizontal="center"/>
      <protection locked="0"/>
    </xf>
    <xf numFmtId="0" fontId="19" fillId="33" borderId="69" xfId="57" applyFont="1" applyFill="1" applyBorder="1" applyAlignment="1">
      <alignment horizontal="center"/>
      <protection/>
    </xf>
    <xf numFmtId="3" fontId="26" fillId="33" borderId="68" xfId="57" applyNumberFormat="1" applyFont="1" applyFill="1" applyBorder="1">
      <alignment/>
      <protection/>
    </xf>
    <xf numFmtId="3" fontId="25" fillId="33" borderId="70" xfId="57" applyNumberFormat="1" applyFont="1" applyFill="1" applyBorder="1">
      <alignment/>
      <protection/>
    </xf>
    <xf numFmtId="0" fontId="19" fillId="33" borderId="49" xfId="57" applyFont="1" applyFill="1" applyBorder="1">
      <alignment/>
      <protection/>
    </xf>
    <xf numFmtId="0" fontId="19" fillId="33" borderId="57" xfId="57" applyFont="1" applyFill="1" applyBorder="1" applyProtection="1">
      <alignment/>
      <protection locked="0"/>
    </xf>
    <xf numFmtId="16" fontId="19" fillId="33" borderId="51" xfId="57" applyNumberFormat="1" applyFont="1" applyFill="1" applyBorder="1" applyAlignment="1" applyProtection="1">
      <alignment horizontal="center"/>
      <protection locked="0"/>
    </xf>
    <xf numFmtId="3" fontId="19" fillId="33" borderId="57" xfId="57" applyNumberFormat="1" applyFont="1" applyFill="1" applyBorder="1" applyAlignment="1">
      <alignment horizontal="center"/>
      <protection/>
    </xf>
    <xf numFmtId="3" fontId="5" fillId="33" borderId="64" xfId="57" applyNumberFormat="1" applyFont="1" applyFill="1" applyBorder="1">
      <alignment/>
      <protection/>
    </xf>
    <xf numFmtId="3" fontId="19" fillId="33" borderId="23" xfId="57" applyNumberFormat="1" applyFont="1" applyFill="1" applyBorder="1">
      <alignment/>
      <protection/>
    </xf>
    <xf numFmtId="3" fontId="8" fillId="33" borderId="63" xfId="57" applyNumberFormat="1" applyFont="1" applyFill="1" applyBorder="1">
      <alignment/>
      <protection/>
    </xf>
    <xf numFmtId="0" fontId="3" fillId="33" borderId="59" xfId="57" applyFont="1" applyFill="1" applyBorder="1" applyAlignment="1">
      <alignment horizontal="center"/>
      <protection/>
    </xf>
    <xf numFmtId="3" fontId="25" fillId="33" borderId="63" xfId="57" applyNumberFormat="1" applyFont="1" applyFill="1" applyBorder="1">
      <alignment/>
      <protection/>
    </xf>
    <xf numFmtId="0" fontId="26" fillId="33" borderId="59" xfId="57" applyFont="1" applyFill="1" applyBorder="1" applyAlignment="1">
      <alignment horizontal="center"/>
      <protection/>
    </xf>
    <xf numFmtId="3" fontId="19" fillId="33" borderId="61" xfId="57" applyNumberFormat="1" applyFont="1" applyFill="1" applyBorder="1" applyAlignment="1">
      <alignment horizontal="center"/>
      <protection/>
    </xf>
    <xf numFmtId="3" fontId="42" fillId="33" borderId="21" xfId="57" applyNumberFormat="1" applyFont="1" applyFill="1" applyBorder="1">
      <alignment/>
      <protection/>
    </xf>
    <xf numFmtId="3" fontId="26" fillId="33" borderId="60" xfId="57" applyNumberFormat="1" applyFont="1" applyFill="1" applyBorder="1">
      <alignment/>
      <protection/>
    </xf>
    <xf numFmtId="0" fontId="24" fillId="33" borderId="52" xfId="57" applyFont="1" applyFill="1" applyBorder="1">
      <alignment/>
      <protection/>
    </xf>
    <xf numFmtId="3" fontId="24" fillId="33" borderId="63" xfId="57" applyNumberFormat="1" applyFont="1" applyFill="1" applyBorder="1">
      <alignment/>
      <protection/>
    </xf>
    <xf numFmtId="0" fontId="13" fillId="33" borderId="59" xfId="57" applyFont="1" applyFill="1" applyBorder="1" applyAlignment="1">
      <alignment horizontal="center"/>
      <protection/>
    </xf>
    <xf numFmtId="0" fontId="25" fillId="33" borderId="66" xfId="57" applyFont="1" applyFill="1" applyBorder="1">
      <alignment/>
      <protection/>
    </xf>
    <xf numFmtId="0" fontId="25" fillId="33" borderId="69" xfId="57" applyFont="1" applyFill="1" applyBorder="1" applyProtection="1">
      <alignment/>
      <protection locked="0"/>
    </xf>
    <xf numFmtId="0" fontId="25" fillId="33" borderId="73" xfId="57" applyFont="1" applyFill="1" applyBorder="1" applyAlignment="1" applyProtection="1">
      <alignment horizontal="center"/>
      <protection locked="0"/>
    </xf>
    <xf numFmtId="0" fontId="25" fillId="33" borderId="69" xfId="57" applyFont="1" applyFill="1" applyBorder="1" applyAlignment="1">
      <alignment horizontal="center"/>
      <protection/>
    </xf>
    <xf numFmtId="0" fontId="19" fillId="33" borderId="18" xfId="57" applyFont="1" applyFill="1" applyBorder="1" applyAlignment="1">
      <alignment horizontal="center"/>
      <protection/>
    </xf>
    <xf numFmtId="0" fontId="19" fillId="33" borderId="19" xfId="57" applyFont="1" applyFill="1" applyBorder="1" applyAlignment="1" applyProtection="1">
      <alignment horizontal="center"/>
      <protection locked="0"/>
    </xf>
    <xf numFmtId="0" fontId="5" fillId="33" borderId="20" xfId="57" applyFont="1" applyFill="1" applyBorder="1" applyAlignment="1" applyProtection="1">
      <alignment horizontal="center"/>
      <protection locked="0"/>
    </xf>
    <xf numFmtId="0" fontId="19" fillId="33" borderId="19" xfId="57" applyFont="1" applyFill="1" applyBorder="1" applyAlignment="1" quotePrefix="1">
      <alignment horizontal="center"/>
      <protection/>
    </xf>
    <xf numFmtId="0" fontId="24" fillId="33" borderId="19" xfId="57" applyFont="1" applyFill="1" applyBorder="1" applyAlignment="1">
      <alignment horizontal="left"/>
      <protection/>
    </xf>
    <xf numFmtId="3" fontId="19" fillId="33" borderId="44" xfId="57" applyNumberFormat="1" applyFont="1" applyFill="1" applyBorder="1">
      <alignment/>
      <protection/>
    </xf>
    <xf numFmtId="3" fontId="19" fillId="33" borderId="32" xfId="57" applyNumberFormat="1" applyFont="1" applyFill="1" applyBorder="1">
      <alignment/>
      <protection/>
    </xf>
    <xf numFmtId="3" fontId="24" fillId="33" borderId="33" xfId="57" applyNumberFormat="1" applyFont="1" applyFill="1" applyBorder="1">
      <alignment/>
      <protection/>
    </xf>
    <xf numFmtId="3" fontId="24" fillId="33" borderId="19" xfId="57" applyNumberFormat="1" applyFont="1" applyFill="1" applyBorder="1">
      <alignment/>
      <protection/>
    </xf>
    <xf numFmtId="0" fontId="19" fillId="33" borderId="13" xfId="57" applyFont="1" applyFill="1" applyBorder="1" applyAlignment="1">
      <alignment horizontal="center"/>
      <protection/>
    </xf>
    <xf numFmtId="0" fontId="19" fillId="33" borderId="0" xfId="57" applyFont="1" applyFill="1" applyBorder="1" applyAlignment="1" applyProtection="1">
      <alignment horizontal="center"/>
      <protection locked="0"/>
    </xf>
    <xf numFmtId="0" fontId="5" fillId="33" borderId="0" xfId="57" applyFont="1" applyFill="1" applyBorder="1" applyAlignment="1" applyProtection="1">
      <alignment horizontal="center"/>
      <protection locked="0"/>
    </xf>
    <xf numFmtId="0" fontId="19" fillId="33" borderId="0" xfId="57" applyFont="1" applyFill="1" applyBorder="1" applyAlignment="1" quotePrefix="1">
      <alignment horizontal="center"/>
      <protection/>
    </xf>
    <xf numFmtId="0" fontId="24" fillId="33" borderId="0" xfId="57" applyFont="1" applyFill="1" applyBorder="1" applyAlignment="1">
      <alignment horizontal="left"/>
      <protection/>
    </xf>
    <xf numFmtId="3" fontId="13" fillId="33" borderId="22" xfId="57" applyNumberFormat="1" applyFont="1" applyFill="1" applyBorder="1">
      <alignment/>
      <protection/>
    </xf>
    <xf numFmtId="3" fontId="13" fillId="33" borderId="15" xfId="57" applyNumberFormat="1" applyFont="1" applyFill="1" applyBorder="1">
      <alignment/>
      <protection/>
    </xf>
    <xf numFmtId="3" fontId="24" fillId="33" borderId="14" xfId="57" applyNumberFormat="1" applyFont="1" applyFill="1" applyBorder="1">
      <alignment/>
      <protection/>
    </xf>
    <xf numFmtId="3" fontId="24" fillId="33" borderId="15" xfId="57" applyNumberFormat="1" applyFont="1" applyFill="1" applyBorder="1">
      <alignment/>
      <protection/>
    </xf>
    <xf numFmtId="3" fontId="24" fillId="0" borderId="0" xfId="57" applyNumberFormat="1" applyFont="1" applyFill="1" applyBorder="1">
      <alignment/>
      <protection/>
    </xf>
    <xf numFmtId="3" fontId="8" fillId="33" borderId="13" xfId="57" applyNumberFormat="1" applyFont="1" applyFill="1" applyBorder="1">
      <alignment/>
      <protection/>
    </xf>
    <xf numFmtId="4" fontId="19" fillId="33" borderId="16" xfId="57" applyNumberFormat="1" applyFont="1" applyFill="1" applyBorder="1">
      <alignment/>
      <protection/>
    </xf>
    <xf numFmtId="3" fontId="19" fillId="0" borderId="0" xfId="57" applyNumberFormat="1" applyFont="1" applyFill="1" applyBorder="1">
      <alignment/>
      <protection/>
    </xf>
    <xf numFmtId="4" fontId="19" fillId="33" borderId="14" xfId="57" applyNumberFormat="1" applyFont="1" applyFill="1" applyBorder="1">
      <alignment/>
      <protection/>
    </xf>
    <xf numFmtId="3" fontId="13" fillId="33" borderId="14" xfId="57" applyNumberFormat="1" applyFont="1" applyFill="1" applyBorder="1">
      <alignment/>
      <protection/>
    </xf>
    <xf numFmtId="0" fontId="19" fillId="33" borderId="11" xfId="57" applyFont="1" applyFill="1" applyBorder="1" applyAlignment="1">
      <alignment horizontal="center"/>
      <protection/>
    </xf>
    <xf numFmtId="0" fontId="19" fillId="33" borderId="10" xfId="57" applyFont="1" applyFill="1" applyBorder="1" applyAlignment="1" applyProtection="1">
      <alignment horizontal="center"/>
      <protection locked="0"/>
    </xf>
    <xf numFmtId="0" fontId="5" fillId="33" borderId="10" xfId="57" applyFont="1" applyFill="1" applyBorder="1" applyAlignment="1" applyProtection="1">
      <alignment horizontal="center"/>
      <protection locked="0"/>
    </xf>
    <xf numFmtId="0" fontId="19" fillId="33" borderId="10" xfId="57" applyFont="1" applyFill="1" applyBorder="1" applyAlignment="1" quotePrefix="1">
      <alignment horizontal="center"/>
      <protection/>
    </xf>
    <xf numFmtId="0" fontId="24" fillId="33" borderId="10" xfId="57" applyFont="1" applyFill="1" applyBorder="1" applyAlignment="1">
      <alignment horizontal="left"/>
      <protection/>
    </xf>
    <xf numFmtId="3" fontId="13" fillId="33" borderId="12" xfId="57" applyNumberFormat="1" applyFont="1" applyFill="1" applyBorder="1">
      <alignment/>
      <protection/>
    </xf>
    <xf numFmtId="3" fontId="24" fillId="33" borderId="12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8" fillId="33" borderId="11" xfId="57" applyNumberFormat="1" applyFont="1" applyFill="1" applyBorder="1">
      <alignment/>
      <protection/>
    </xf>
    <xf numFmtId="4" fontId="19" fillId="33" borderId="28" xfId="57" applyNumberFormat="1" applyFont="1" applyFill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 applyProtection="1">
      <alignment horizontal="center"/>
      <protection locked="0"/>
    </xf>
    <xf numFmtId="0" fontId="5" fillId="0" borderId="0" xfId="57" applyFont="1" applyFill="1" applyBorder="1" applyAlignment="1" applyProtection="1">
      <alignment horizontal="center"/>
      <protection locked="0"/>
    </xf>
    <xf numFmtId="0" fontId="19" fillId="0" borderId="0" xfId="57" applyFont="1" applyFill="1" applyBorder="1" applyAlignment="1" quotePrefix="1">
      <alignment horizontal="center"/>
      <protection/>
    </xf>
    <xf numFmtId="0" fontId="24" fillId="0" borderId="0" xfId="57" applyFont="1" applyFill="1" applyBorder="1" applyAlignment="1">
      <alignment horizontal="left"/>
      <protection/>
    </xf>
    <xf numFmtId="3" fontId="19" fillId="0" borderId="0" xfId="57" applyNumberFormat="1" applyFont="1" applyFill="1" applyBorder="1" applyAlignment="1">
      <alignment horizontal="right"/>
      <protection/>
    </xf>
    <xf numFmtId="3" fontId="36" fillId="0" borderId="0" xfId="57" applyNumberFormat="1" applyFont="1" applyFill="1" applyBorder="1" applyAlignment="1">
      <alignment horizontal="right"/>
      <protection/>
    </xf>
    <xf numFmtId="3" fontId="16" fillId="33" borderId="34" xfId="57" applyNumberFormat="1" applyFont="1" applyFill="1" applyBorder="1">
      <alignment/>
      <protection/>
    </xf>
    <xf numFmtId="3" fontId="24" fillId="33" borderId="0" xfId="57" applyNumberFormat="1" applyFont="1" applyFill="1" applyBorder="1">
      <alignment/>
      <protection/>
    </xf>
    <xf numFmtId="3" fontId="16" fillId="33" borderId="53" xfId="57" applyNumberFormat="1" applyFont="1" applyFill="1" applyBorder="1">
      <alignment/>
      <protection/>
    </xf>
    <xf numFmtId="0" fontId="11" fillId="0" borderId="0" xfId="57" applyFont="1" applyFill="1" applyBorder="1">
      <alignment/>
      <protection/>
    </xf>
    <xf numFmtId="3" fontId="46" fillId="33" borderId="0" xfId="57" applyNumberFormat="1" applyFont="1" applyFill="1" applyBorder="1">
      <alignment/>
      <protection/>
    </xf>
    <xf numFmtId="3" fontId="46" fillId="0" borderId="0" xfId="57" applyNumberFormat="1" applyFont="1" applyFill="1" applyBorder="1">
      <alignment/>
      <protection/>
    </xf>
    <xf numFmtId="3" fontId="19" fillId="36" borderId="0" xfId="57" applyNumberFormat="1" applyFont="1" applyFill="1" applyBorder="1" applyAlignment="1">
      <alignment horizontal="right"/>
      <protection/>
    </xf>
    <xf numFmtId="3" fontId="36" fillId="36" borderId="0" xfId="57" applyNumberFormat="1" applyFont="1" applyFill="1" applyBorder="1" applyAlignment="1">
      <alignment horizontal="right"/>
      <protection/>
    </xf>
    <xf numFmtId="3" fontId="30" fillId="36" borderId="0" xfId="57" applyNumberFormat="1" applyFont="1" applyFill="1" applyBorder="1" applyAlignment="1">
      <alignment horizontal="right"/>
      <protection/>
    </xf>
    <xf numFmtId="3" fontId="30" fillId="33" borderId="0" xfId="57" applyNumberFormat="1" applyFont="1" applyFill="1" applyBorder="1" applyAlignment="1">
      <alignment horizontal="right"/>
      <protection/>
    </xf>
    <xf numFmtId="3" fontId="19" fillId="33" borderId="0" xfId="57" applyNumberFormat="1" applyFont="1" applyFill="1" applyBorder="1" applyAlignment="1">
      <alignment horizontal="right"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 applyProtection="1">
      <alignment horizontal="center"/>
      <protection locked="0"/>
    </xf>
    <xf numFmtId="0" fontId="8" fillId="0" borderId="0" xfId="57" applyFont="1" applyFill="1" applyBorder="1" applyAlignment="1" applyProtection="1">
      <alignment horizontal="center"/>
      <protection locked="0"/>
    </xf>
    <xf numFmtId="3" fontId="8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3" fontId="8" fillId="33" borderId="0" xfId="57" applyNumberFormat="1" applyFont="1" applyFill="1" applyBorder="1">
      <alignment/>
      <protection/>
    </xf>
    <xf numFmtId="3" fontId="5" fillId="33" borderId="0" xfId="57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7" fillId="33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6" fillId="0" borderId="0" xfId="57" applyFont="1" applyFill="1" applyBorder="1">
      <alignment/>
      <protection/>
    </xf>
    <xf numFmtId="3" fontId="6" fillId="33" borderId="0" xfId="57" applyNumberFormat="1" applyFont="1" applyFill="1" applyBorder="1">
      <alignment/>
      <protection/>
    </xf>
    <xf numFmtId="3" fontId="3" fillId="33" borderId="0" xfId="57" applyNumberFormat="1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0" fontId="19" fillId="0" borderId="0" xfId="57" applyFont="1" applyFill="1" applyBorder="1" applyProtection="1">
      <alignment/>
      <protection locked="0"/>
    </xf>
    <xf numFmtId="3" fontId="8" fillId="33" borderId="0" xfId="57" applyNumberFormat="1" applyFont="1" applyFill="1" applyBorder="1">
      <alignment/>
      <protection/>
    </xf>
    <xf numFmtId="3" fontId="47" fillId="0" borderId="0" xfId="57" applyNumberFormat="1" applyFont="1" applyFill="1" applyBorder="1" applyAlignment="1" applyProtection="1">
      <alignment horizontal="center"/>
      <protection locked="0"/>
    </xf>
    <xf numFmtId="3" fontId="7" fillId="33" borderId="0" xfId="57" applyNumberFormat="1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18" fillId="0" borderId="0" xfId="57" applyFont="1" applyFill="1" applyBorder="1">
      <alignment/>
      <protection/>
    </xf>
    <xf numFmtId="3" fontId="8" fillId="0" borderId="0" xfId="57" applyNumberFormat="1" applyFont="1" applyFill="1" applyBorder="1" applyAlignment="1" applyProtection="1">
      <alignment horizontal="center"/>
      <protection locked="0"/>
    </xf>
    <xf numFmtId="0" fontId="19" fillId="0" borderId="0" xfId="57" applyFont="1" applyFill="1" applyBorder="1">
      <alignment/>
      <protection/>
    </xf>
    <xf numFmtId="3" fontId="19" fillId="33" borderId="0" xfId="57" applyNumberFormat="1" applyFont="1" applyFill="1" applyBorder="1">
      <alignment/>
      <protection/>
    </xf>
    <xf numFmtId="0" fontId="19" fillId="33" borderId="0" xfId="57" applyFont="1" applyFill="1" applyBorder="1">
      <alignment/>
      <protection/>
    </xf>
    <xf numFmtId="3" fontId="5" fillId="0" borderId="0" xfId="57" applyNumberFormat="1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0" fillId="0" borderId="0" xfId="57" applyFont="1" applyFill="1">
      <alignment/>
      <protection/>
    </xf>
    <xf numFmtId="3" fontId="8" fillId="0" borderId="0" xfId="57" applyNumberFormat="1" applyFont="1" applyFill="1" applyBorder="1">
      <alignment/>
      <protection/>
    </xf>
    <xf numFmtId="0" fontId="8" fillId="0" borderId="39" xfId="57" applyFont="1" applyFill="1" applyBorder="1" applyAlignment="1">
      <alignment horizontal="center"/>
      <protection/>
    </xf>
    <xf numFmtId="0" fontId="8" fillId="0" borderId="25" xfId="57" applyFont="1" applyFill="1" applyBorder="1" applyAlignment="1">
      <alignment horizontal="center"/>
      <protection/>
    </xf>
    <xf numFmtId="0" fontId="8" fillId="0" borderId="48" xfId="57" applyFont="1" applyFill="1" applyBorder="1" applyAlignment="1">
      <alignment horizontal="center"/>
      <protection/>
    </xf>
    <xf numFmtId="0" fontId="19" fillId="0" borderId="48" xfId="57" applyFont="1" applyFill="1" applyBorder="1" applyAlignment="1">
      <alignment horizontal="center"/>
      <protection/>
    </xf>
    <xf numFmtId="0" fontId="19" fillId="0" borderId="46" xfId="57" applyFont="1" applyFill="1" applyBorder="1" applyAlignment="1">
      <alignment horizontal="center"/>
      <protection/>
    </xf>
    <xf numFmtId="0" fontId="8" fillId="0" borderId="47" xfId="57" applyFont="1" applyFill="1" applyBorder="1" applyAlignment="1">
      <alignment horizontal="center"/>
      <protection/>
    </xf>
    <xf numFmtId="0" fontId="19" fillId="0" borderId="55" xfId="57" applyFont="1" applyFill="1" applyBorder="1" applyAlignment="1">
      <alignment horizontal="center"/>
      <protection/>
    </xf>
    <xf numFmtId="0" fontId="19" fillId="0" borderId="27" xfId="57" applyFont="1" applyFill="1" applyBorder="1" applyAlignment="1">
      <alignment horizontal="center"/>
      <protection/>
    </xf>
    <xf numFmtId="0" fontId="8" fillId="0" borderId="81" xfId="57" applyFont="1" applyFill="1" applyBorder="1" applyAlignment="1">
      <alignment horizontal="center"/>
      <protection/>
    </xf>
    <xf numFmtId="3" fontId="24" fillId="33" borderId="0" xfId="57" applyNumberFormat="1" applyFont="1" applyFill="1" applyBorder="1">
      <alignment/>
      <protection/>
    </xf>
    <xf numFmtId="0" fontId="8" fillId="0" borderId="66" xfId="57" applyFont="1" applyFill="1" applyBorder="1">
      <alignment/>
      <protection/>
    </xf>
    <xf numFmtId="0" fontId="8" fillId="0" borderId="68" xfId="57" applyFont="1" applyFill="1" applyBorder="1" applyAlignment="1">
      <alignment horizontal="center"/>
      <protection/>
    </xf>
    <xf numFmtId="0" fontId="8" fillId="0" borderId="69" xfId="57" applyFont="1" applyFill="1" applyBorder="1" applyAlignment="1">
      <alignment horizontal="center"/>
      <protection/>
    </xf>
    <xf numFmtId="0" fontId="8" fillId="0" borderId="21" xfId="57" applyFont="1" applyFill="1" applyBorder="1" applyAlignment="1">
      <alignment horizontal="center"/>
      <protection/>
    </xf>
    <xf numFmtId="0" fontId="8" fillId="0" borderId="40" xfId="57" applyFont="1" applyFill="1" applyBorder="1" applyAlignment="1">
      <alignment horizontal="center"/>
      <protection/>
    </xf>
    <xf numFmtId="0" fontId="8" fillId="0" borderId="67" xfId="57" applyFont="1" applyFill="1" applyBorder="1" applyAlignment="1">
      <alignment horizontal="center"/>
      <protection/>
    </xf>
    <xf numFmtId="0" fontId="8" fillId="0" borderId="72" xfId="57" applyFont="1" applyFill="1" applyBorder="1" applyAlignment="1">
      <alignment horizontal="center"/>
      <protection/>
    </xf>
    <xf numFmtId="0" fontId="8" fillId="0" borderId="71" xfId="57" applyFont="1" applyFill="1" applyBorder="1" applyAlignment="1">
      <alignment horizontal="center"/>
      <protection/>
    </xf>
    <xf numFmtId="0" fontId="8" fillId="0" borderId="73" xfId="57" applyFont="1" applyFill="1" applyBorder="1" applyAlignment="1">
      <alignment horizontal="center"/>
      <protection/>
    </xf>
    <xf numFmtId="3" fontId="8" fillId="33" borderId="0" xfId="57" applyNumberFormat="1" applyFont="1" applyFill="1" applyBorder="1">
      <alignment/>
      <protection/>
    </xf>
    <xf numFmtId="0" fontId="8" fillId="0" borderId="17" xfId="57" applyFont="1" applyFill="1" applyBorder="1" applyAlignment="1">
      <alignment horizontal="center"/>
      <protection/>
    </xf>
    <xf numFmtId="0" fontId="8" fillId="0" borderId="43" xfId="57" applyFont="1" applyFill="1" applyBorder="1">
      <alignment/>
      <protection/>
    </xf>
    <xf numFmtId="3" fontId="8" fillId="0" borderId="43" xfId="57" applyNumberFormat="1" applyFont="1" applyFill="1" applyBorder="1">
      <alignment/>
      <protection/>
    </xf>
    <xf numFmtId="2" fontId="8" fillId="0" borderId="0" xfId="57" applyNumberFormat="1" applyFont="1" applyFill="1" applyBorder="1">
      <alignment/>
      <protection/>
    </xf>
    <xf numFmtId="2" fontId="8" fillId="0" borderId="43" xfId="57" applyNumberFormat="1" applyFont="1" applyFill="1" applyBorder="1">
      <alignment/>
      <protection/>
    </xf>
    <xf numFmtId="2" fontId="8" fillId="0" borderId="22" xfId="57" applyNumberFormat="1" applyFont="1" applyFill="1" applyBorder="1">
      <alignment/>
      <protection/>
    </xf>
    <xf numFmtId="0" fontId="8" fillId="0" borderId="13" xfId="57" applyFont="1" applyFill="1" applyBorder="1" applyAlignment="1">
      <alignment horizontal="center"/>
      <protection/>
    </xf>
    <xf numFmtId="2" fontId="8" fillId="0" borderId="15" xfId="57" applyNumberFormat="1" applyFont="1" applyFill="1" applyBorder="1">
      <alignment/>
      <protection/>
    </xf>
    <xf numFmtId="0" fontId="25" fillId="0" borderId="13" xfId="57" applyFont="1" applyFill="1" applyBorder="1" applyAlignment="1">
      <alignment horizontal="center"/>
      <protection/>
    </xf>
    <xf numFmtId="0" fontId="8" fillId="0" borderId="0" xfId="57" applyFont="1" applyFill="1" applyBorder="1" applyProtection="1">
      <alignment/>
      <protection locked="0"/>
    </xf>
    <xf numFmtId="0" fontId="8" fillId="0" borderId="11" xfId="57" applyFont="1" applyFill="1" applyBorder="1">
      <alignment/>
      <protection/>
    </xf>
    <xf numFmtId="0" fontId="8" fillId="0" borderId="10" xfId="57" applyFont="1" applyFill="1" applyBorder="1">
      <alignment/>
      <protection/>
    </xf>
    <xf numFmtId="3" fontId="8" fillId="0" borderId="10" xfId="57" applyNumberFormat="1" applyFont="1" applyFill="1" applyBorder="1">
      <alignment/>
      <protection/>
    </xf>
    <xf numFmtId="2" fontId="8" fillId="0" borderId="10" xfId="57" applyNumberFormat="1" applyFont="1" applyFill="1" applyBorder="1">
      <alignment/>
      <protection/>
    </xf>
    <xf numFmtId="2" fontId="8" fillId="0" borderId="12" xfId="57" applyNumberFormat="1" applyFont="1" applyFill="1" applyBorder="1">
      <alignment/>
      <protection/>
    </xf>
    <xf numFmtId="3" fontId="19" fillId="0" borderId="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164" fontId="19" fillId="0" borderId="0" xfId="57" applyNumberFormat="1" applyFont="1" applyFill="1" applyBorder="1">
      <alignment/>
      <protection/>
    </xf>
    <xf numFmtId="0" fontId="8" fillId="0" borderId="0" xfId="57" applyFont="1" applyFill="1" applyAlignment="1" applyProtection="1">
      <alignment horizontal="center"/>
      <protection locked="0"/>
    </xf>
    <xf numFmtId="0" fontId="8" fillId="0" borderId="0" xfId="57" applyFont="1" applyFill="1" applyAlignment="1">
      <alignment horizontal="center"/>
      <protection/>
    </xf>
    <xf numFmtId="3" fontId="8" fillId="0" borderId="0" xfId="57" applyNumberFormat="1" applyFont="1" applyFill="1">
      <alignment/>
      <protection/>
    </xf>
    <xf numFmtId="3" fontId="8" fillId="33" borderId="0" xfId="57" applyNumberFormat="1" applyFont="1" applyFill="1">
      <alignment/>
      <protection/>
    </xf>
    <xf numFmtId="3" fontId="19" fillId="33" borderId="0" xfId="57" applyNumberFormat="1" applyFont="1" applyFill="1">
      <alignment/>
      <protection/>
    </xf>
    <xf numFmtId="3" fontId="8" fillId="0" borderId="0" xfId="57" applyNumberFormat="1" applyFont="1" applyFill="1">
      <alignment/>
      <protection/>
    </xf>
    <xf numFmtId="3" fontId="8" fillId="33" borderId="0" xfId="57" applyNumberFormat="1" applyFont="1" applyFill="1">
      <alignment/>
      <protection/>
    </xf>
    <xf numFmtId="0" fontId="8" fillId="0" borderId="0" xfId="57" applyFont="1" applyFill="1" applyBorder="1" applyAlignment="1">
      <alignment horizontal="right"/>
      <protection/>
    </xf>
    <xf numFmtId="3" fontId="47" fillId="0" borderId="0" xfId="57" applyNumberFormat="1" applyFont="1" applyFill="1" applyBorder="1">
      <alignment/>
      <protection/>
    </xf>
    <xf numFmtId="3" fontId="8" fillId="35" borderId="0" xfId="57" applyNumberFormat="1" applyFont="1" applyFill="1">
      <alignment/>
      <protection/>
    </xf>
    <xf numFmtId="3" fontId="40" fillId="0" borderId="12" xfId="57" applyNumberFormat="1" applyFont="1" applyBorder="1">
      <alignment/>
      <protection/>
    </xf>
    <xf numFmtId="0" fontId="39" fillId="0" borderId="16" xfId="57" applyFont="1" applyFill="1" applyBorder="1" applyAlignment="1">
      <alignment horizontal="center"/>
      <protection/>
    </xf>
    <xf numFmtId="0" fontId="40" fillId="0" borderId="83" xfId="57" applyFont="1" applyFill="1" applyBorder="1" applyAlignment="1">
      <alignment horizontal="center"/>
      <protection/>
    </xf>
    <xf numFmtId="3" fontId="40" fillId="0" borderId="25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2000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solidFill>
                          <a:srgbClr val="000000"/>
                        </a:solidFill>
                      </a:rPr>
                      <a:t>Tulumaks
46,40%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solidFill>
                          <a:srgbClr val="000000"/>
                        </a:solidFill>
                      </a:rPr>
                      <a:t>majandustegevusest
3%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tulud'!$G$135:$G$146</c:f>
              <c:numCache>
                <c:ptCount val="12"/>
                <c:pt idx="0">
                  <c:v>46.39964450674686</c:v>
                </c:pt>
                <c:pt idx="1">
                  <c:v>6.081413382053922</c:v>
                </c:pt>
                <c:pt idx="2">
                  <c:v>0.9940031683009021</c:v>
                </c:pt>
                <c:pt idx="3">
                  <c:v>0.009622489528566333</c:v>
                </c:pt>
                <c:pt idx="4">
                  <c:v>0.29675757706098566</c:v>
                </c:pt>
                <c:pt idx="5">
                  <c:v>24.247711363034302</c:v>
                </c:pt>
                <c:pt idx="6">
                  <c:v>0.002405622382141583</c:v>
                </c:pt>
                <c:pt idx="7">
                  <c:v>2.8892871958054416</c:v>
                </c:pt>
                <c:pt idx="8">
                  <c:v>0.182057501880475</c:v>
                </c:pt>
                <c:pt idx="9">
                  <c:v>7.344456546328774</c:v>
                </c:pt>
                <c:pt idx="10">
                  <c:v>11.51148044791919</c:v>
                </c:pt>
                <c:pt idx="11">
                  <c:v>0.04116019895844249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2001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tulud'!$I$135:$I$146</c:f>
              <c:numCache>
                <c:ptCount val="12"/>
                <c:pt idx="0">
                  <c:v>76.12142890338667</c:v>
                </c:pt>
                <c:pt idx="1">
                  <c:v>8.493548909219987</c:v>
                </c:pt>
                <c:pt idx="2">
                  <c:v>1.6682612102826426</c:v>
                </c:pt>
                <c:pt idx="3">
                  <c:v>0.016025563979660356</c:v>
                </c:pt>
                <c:pt idx="4">
                  <c:v>0.44871579143048995</c:v>
                </c:pt>
                <c:pt idx="5">
                  <c:v>6.4903534117624435</c:v>
                </c:pt>
                <c:pt idx="6">
                  <c:v>0</c:v>
                </c:pt>
                <c:pt idx="7">
                  <c:v>5.817279724616709</c:v>
                </c:pt>
                <c:pt idx="8">
                  <c:v>0</c:v>
                </c:pt>
                <c:pt idx="9">
                  <c:v>0</c:v>
                </c:pt>
                <c:pt idx="10">
                  <c:v>0.9043225753722338</c:v>
                </c:pt>
                <c:pt idx="11">
                  <c:v>0.040063909949150885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Tulud 1999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tulud'!$E$135:$E$146</c:f>
              <c:numCache>
                <c:ptCount val="12"/>
                <c:pt idx="0">
                  <c:v>56.44142973968006</c:v>
                </c:pt>
                <c:pt idx="1">
                  <c:v>7.194356304948422</c:v>
                </c:pt>
                <c:pt idx="2">
                  <c:v>1.1992671968511162</c:v>
                </c:pt>
                <c:pt idx="3">
                  <c:v>0.015281513001357718</c:v>
                </c:pt>
                <c:pt idx="4">
                  <c:v>0.5484957921635872</c:v>
                </c:pt>
                <c:pt idx="5">
                  <c:v>5.303577150038726</c:v>
                </c:pt>
                <c:pt idx="6">
                  <c:v>0.0058531702461675035</c:v>
                </c:pt>
                <c:pt idx="7">
                  <c:v>2.6976086265404975</c:v>
                </c:pt>
                <c:pt idx="8">
                  <c:v>0</c:v>
                </c:pt>
                <c:pt idx="9">
                  <c:v>17.91082272886339</c:v>
                </c:pt>
                <c:pt idx="10">
                  <c:v>8.650216584506529</c:v>
                </c:pt>
                <c:pt idx="11">
                  <c:v>0.033091193160150974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2000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solidFill>
                          <a:srgbClr val="000000"/>
                        </a:solidFill>
                      </a:rPr>
                      <a:t>majandustegevusest
3%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tulud'!$G$135:$G$146</c:f>
              <c:numCache>
                <c:ptCount val="12"/>
                <c:pt idx="0">
                  <c:v>46.39964450674686</c:v>
                </c:pt>
                <c:pt idx="1">
                  <c:v>6.081413382053922</c:v>
                </c:pt>
                <c:pt idx="2">
                  <c:v>0.9940031683009021</c:v>
                </c:pt>
                <c:pt idx="3">
                  <c:v>0.009622489528566333</c:v>
                </c:pt>
                <c:pt idx="4">
                  <c:v>0.29675757706098566</c:v>
                </c:pt>
                <c:pt idx="5">
                  <c:v>24.247711363034302</c:v>
                </c:pt>
                <c:pt idx="6">
                  <c:v>0.002405622382141583</c:v>
                </c:pt>
                <c:pt idx="7">
                  <c:v>2.8892871958054416</c:v>
                </c:pt>
                <c:pt idx="8">
                  <c:v>0.182057501880475</c:v>
                </c:pt>
                <c:pt idx="9">
                  <c:v>7.344456546328774</c:v>
                </c:pt>
                <c:pt idx="10">
                  <c:v>11.51148044791919</c:v>
                </c:pt>
                <c:pt idx="11">
                  <c:v>0.04116019895844249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2001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tulud'!$I$135:$I$146</c:f>
              <c:numCache>
                <c:ptCount val="12"/>
                <c:pt idx="0">
                  <c:v>76.12142890338667</c:v>
                </c:pt>
                <c:pt idx="1">
                  <c:v>8.493548909219987</c:v>
                </c:pt>
                <c:pt idx="2">
                  <c:v>1.6682612102826426</c:v>
                </c:pt>
                <c:pt idx="3">
                  <c:v>0.016025563979660356</c:v>
                </c:pt>
                <c:pt idx="4">
                  <c:v>0.44871579143048995</c:v>
                </c:pt>
                <c:pt idx="5">
                  <c:v>6.4903534117624435</c:v>
                </c:pt>
                <c:pt idx="6">
                  <c:v>0</c:v>
                </c:pt>
                <c:pt idx="7">
                  <c:v>5.817279724616709</c:v>
                </c:pt>
                <c:pt idx="8">
                  <c:v>0</c:v>
                </c:pt>
                <c:pt idx="9">
                  <c:v>0</c:v>
                </c:pt>
                <c:pt idx="10">
                  <c:v>0.9043225753722338</c:v>
                </c:pt>
                <c:pt idx="11">
                  <c:v>0.040063909949150885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Tulud 1999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tulud'!$E$135:$E$146</c:f>
              <c:numCache>
                <c:ptCount val="12"/>
                <c:pt idx="0">
                  <c:v>56.44142973968006</c:v>
                </c:pt>
                <c:pt idx="1">
                  <c:v>7.194356304948422</c:v>
                </c:pt>
                <c:pt idx="2">
                  <c:v>1.1992671968511162</c:v>
                </c:pt>
                <c:pt idx="3">
                  <c:v>0.015281513001357718</c:v>
                </c:pt>
                <c:pt idx="4">
                  <c:v>0.5484957921635872</c:v>
                </c:pt>
                <c:pt idx="5">
                  <c:v>5.303577150038726</c:v>
                </c:pt>
                <c:pt idx="6">
                  <c:v>0.0058531702461675035</c:v>
                </c:pt>
                <c:pt idx="7">
                  <c:v>2.6976086265404975</c:v>
                </c:pt>
                <c:pt idx="8">
                  <c:v>0</c:v>
                </c:pt>
                <c:pt idx="9">
                  <c:v>17.91082272886339</c:v>
                </c:pt>
                <c:pt idx="10">
                  <c:v>8.650216584506529</c:v>
                </c:pt>
                <c:pt idx="11">
                  <c:v>0.033091193160150974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Maksud ja sotsiaalkindlustusmaksed
64,74%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Kaupade ja teenuste müük
5,38%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Toetused
18,57%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Muud Tulud
0,51%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Finantseerimistehingud
10,61%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Muudatus kassas
0,2
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Maksud ja sotsiaalkindlustusmaksed
92,78%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Kaupade ja teenuste müük
6,77%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Muud Tulud
0,46%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Maardu eelarve    2006-2010.a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(krooni)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027"/>
          <c:w val="0.9775"/>
          <c:h val="0.94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 summary '!$X$384</c:f>
              <c:strCache>
                <c:ptCount val="1"/>
                <c:pt idx="0">
                  <c:v>           Aasta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 summary '!$X$385:$X$389</c:f>
              <c:numCache/>
            </c:numRef>
          </c:val>
          <c:shape val="cylinder"/>
        </c:ser>
        <c:ser>
          <c:idx val="1"/>
          <c:order val="1"/>
          <c:tx>
            <c:strRef>
              <c:f>' summary '!$Y$384</c:f>
              <c:strCache>
                <c:ptCount val="1"/>
                <c:pt idx="0">
                  <c:v>   Kulud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 summary '!$Y$385:$Y$389</c:f>
              <c:numCache/>
            </c:numRef>
          </c:val>
          <c:shape val="cylinder"/>
        </c:ser>
        <c:shape val="cylinder"/>
        <c:axId val="25986313"/>
        <c:axId val="32550226"/>
        <c:axId val="24516579"/>
      </c:bar3D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313"/>
        <c:crossesAt val="1"/>
        <c:crossBetween val="between"/>
        <c:dispUnits/>
      </c:valAx>
      <c:serAx>
        <c:axId val="24516579"/>
        <c:scaling>
          <c:orientation val="minMax"/>
        </c:scaling>
        <c:axPos val="b"/>
        <c:delete val="1"/>
        <c:majorTickMark val="out"/>
        <c:minorTickMark val="none"/>
        <c:tickLblPos val="none"/>
        <c:crossAx val="325502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 aasta eelarve kulude struktuur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35"/>
          <c:y val="0.239"/>
          <c:w val="0.462"/>
          <c:h val="0.72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Avalik kord ja julgeolek
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Tervishoid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0,43%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summary '!$Y$326:$Y$336</c:f>
              <c:strCache/>
            </c:strRef>
          </c:cat>
          <c:val>
            <c:numRef>
              <c:f>' summary '!$AK$326:$AK$336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2001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tulud'!$I$135:$I$146</c:f>
              <c:numCache>
                <c:ptCount val="12"/>
                <c:pt idx="0">
                  <c:v>76.12142890338667</c:v>
                </c:pt>
                <c:pt idx="1">
                  <c:v>8.493548909219987</c:v>
                </c:pt>
                <c:pt idx="2">
                  <c:v>1.6682612102826426</c:v>
                </c:pt>
                <c:pt idx="3">
                  <c:v>0.016025563979660356</c:v>
                </c:pt>
                <c:pt idx="4">
                  <c:v>0.44871579143048995</c:v>
                </c:pt>
                <c:pt idx="5">
                  <c:v>6.4903534117624435</c:v>
                </c:pt>
                <c:pt idx="6">
                  <c:v>0</c:v>
                </c:pt>
                <c:pt idx="7">
                  <c:v>5.817279724616709</c:v>
                </c:pt>
                <c:pt idx="8">
                  <c:v>0</c:v>
                </c:pt>
                <c:pt idx="9">
                  <c:v>0</c:v>
                </c:pt>
                <c:pt idx="10">
                  <c:v>0.9043225753722338</c:v>
                </c:pt>
                <c:pt idx="11">
                  <c:v>0.040063909949150885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Tulud 1999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tulud'!$E$135:$E$146</c:f>
              <c:numCache>
                <c:ptCount val="12"/>
                <c:pt idx="0">
                  <c:v>56.44142973968006</c:v>
                </c:pt>
                <c:pt idx="1">
                  <c:v>7.194356304948422</c:v>
                </c:pt>
                <c:pt idx="2">
                  <c:v>1.1992671968511162</c:v>
                </c:pt>
                <c:pt idx="3">
                  <c:v>0.015281513001357718</c:v>
                </c:pt>
                <c:pt idx="4">
                  <c:v>0.5484957921635872</c:v>
                </c:pt>
                <c:pt idx="5">
                  <c:v>5.303577150038726</c:v>
                </c:pt>
                <c:pt idx="6">
                  <c:v>0.0058531702461675035</c:v>
                </c:pt>
                <c:pt idx="7">
                  <c:v>2.6976086265404975</c:v>
                </c:pt>
                <c:pt idx="8">
                  <c:v>0</c:v>
                </c:pt>
                <c:pt idx="9">
                  <c:v>17.91082272886339</c:v>
                </c:pt>
                <c:pt idx="10">
                  <c:v>8.650216584506529</c:v>
                </c:pt>
                <c:pt idx="11">
                  <c:v>0.033091193160150974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2000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solidFill>
                          <a:srgbClr val="000000"/>
                        </a:solidFill>
                      </a:rPr>
                      <a:t>majandustegevusest
3%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tulud'!$G$135:$G$146</c:f>
              <c:numCache>
                <c:ptCount val="12"/>
                <c:pt idx="0">
                  <c:v>46.39964450674686</c:v>
                </c:pt>
                <c:pt idx="1">
                  <c:v>6.081413382053922</c:v>
                </c:pt>
                <c:pt idx="2">
                  <c:v>0.9940031683009021</c:v>
                </c:pt>
                <c:pt idx="3">
                  <c:v>0.009622489528566333</c:v>
                </c:pt>
                <c:pt idx="4">
                  <c:v>0.29675757706098566</c:v>
                </c:pt>
                <c:pt idx="5">
                  <c:v>24.247711363034302</c:v>
                </c:pt>
                <c:pt idx="6">
                  <c:v>0.002405622382141583</c:v>
                </c:pt>
                <c:pt idx="7">
                  <c:v>2.8892871958054416</c:v>
                </c:pt>
                <c:pt idx="8">
                  <c:v>0.182057501880475</c:v>
                </c:pt>
                <c:pt idx="9">
                  <c:v>7.344456546328774</c:v>
                </c:pt>
                <c:pt idx="10">
                  <c:v>11.51148044791919</c:v>
                </c:pt>
                <c:pt idx="11">
                  <c:v>0.04116019895844249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2001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tulud'!$I$135:$I$146</c:f>
              <c:numCache>
                <c:ptCount val="12"/>
                <c:pt idx="0">
                  <c:v>76.12142890338667</c:v>
                </c:pt>
                <c:pt idx="1">
                  <c:v>8.493548909219987</c:v>
                </c:pt>
                <c:pt idx="2">
                  <c:v>1.6682612102826426</c:v>
                </c:pt>
                <c:pt idx="3">
                  <c:v>0.016025563979660356</c:v>
                </c:pt>
                <c:pt idx="4">
                  <c:v>0.44871579143048995</c:v>
                </c:pt>
                <c:pt idx="5">
                  <c:v>6.4903534117624435</c:v>
                </c:pt>
                <c:pt idx="6">
                  <c:v>0</c:v>
                </c:pt>
                <c:pt idx="7">
                  <c:v>5.817279724616709</c:v>
                </c:pt>
                <c:pt idx="8">
                  <c:v>0</c:v>
                </c:pt>
                <c:pt idx="9">
                  <c:v>0</c:v>
                </c:pt>
                <c:pt idx="10">
                  <c:v>0.9043225753722338</c:v>
                </c:pt>
                <c:pt idx="11">
                  <c:v>0.040063909949150885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Tulud 1999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tulud'!$E$135:$E$146</c:f>
              <c:numCache>
                <c:ptCount val="12"/>
                <c:pt idx="0">
                  <c:v>56.44142973968006</c:v>
                </c:pt>
                <c:pt idx="1">
                  <c:v>7.194356304948422</c:v>
                </c:pt>
                <c:pt idx="2">
                  <c:v>1.1992671968511162</c:v>
                </c:pt>
                <c:pt idx="3">
                  <c:v>0.015281513001357718</c:v>
                </c:pt>
                <c:pt idx="4">
                  <c:v>0.5484957921635872</c:v>
                </c:pt>
                <c:pt idx="5">
                  <c:v>5.303577150038726</c:v>
                </c:pt>
                <c:pt idx="6">
                  <c:v>0.0058531702461675035</c:v>
                </c:pt>
                <c:pt idx="7">
                  <c:v>2.6976086265404975</c:v>
                </c:pt>
                <c:pt idx="8">
                  <c:v>0</c:v>
                </c:pt>
                <c:pt idx="9">
                  <c:v>17.91082272886339</c:v>
                </c:pt>
                <c:pt idx="10">
                  <c:v>8.650216584506529</c:v>
                </c:pt>
                <c:pt idx="11">
                  <c:v>0.033091193160150974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Maksud ja sotsiaalkindlustusmaksed 59,71
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Kaupade ja teenuste müük 5,97%;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Toetused 21,44
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Muud Tulud 5,30
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Finantseerimistehingud 7,26
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MUUTUS KASSAS 0,31%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Tulud 2000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solidFill>
                          <a:srgbClr val="000000"/>
                        </a:solidFill>
                      </a:rPr>
                      <a:t>majandustegevusest
3%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'[3]2001 tulud'!$C$135:$C$146</c:f>
              <c:strCache>
                <c:ptCount val="12"/>
                <c:pt idx="0">
                  <c:v>Tulumaks</c:v>
                </c:pt>
                <c:pt idx="1">
                  <c:v>Maamaks</c:v>
                </c:pt>
                <c:pt idx="2">
                  <c:v>Teised maksud</c:v>
                </c:pt>
                <c:pt idx="3">
                  <c:v>Riihilõiv</c:v>
                </c:pt>
                <c:pt idx="4">
                  <c:v>Segatulud</c:v>
                </c:pt>
                <c:pt idx="5">
                  <c:v>Tulud varadelt</c:v>
                </c:pt>
                <c:pt idx="6">
                  <c:v>Finantstulud</c:v>
                </c:pt>
                <c:pt idx="7">
                  <c:v>Tulud majandustegevusest</c:v>
                </c:pt>
                <c:pt idx="8">
                  <c:v>Arveldused ja ülekanded</c:v>
                </c:pt>
                <c:pt idx="9">
                  <c:v>Eraldised riigieelarvest</c:v>
                </c:pt>
                <c:pt idx="10">
                  <c:v>Laenud</c:v>
                </c:pt>
                <c:pt idx="11">
                  <c:v>Kassatagavara</c:v>
                </c:pt>
              </c:strCache>
            </c:strRef>
          </c:cat>
          <c:val>
            <c:numRef>
              <c:f>'[3]2001 tulud'!$G$135:$G$146</c:f>
              <c:numCache>
                <c:ptCount val="12"/>
                <c:pt idx="0">
                  <c:v>46.39964450674686</c:v>
                </c:pt>
                <c:pt idx="1">
                  <c:v>6.081413382053922</c:v>
                </c:pt>
                <c:pt idx="2">
                  <c:v>0.9940031683009021</c:v>
                </c:pt>
                <c:pt idx="3">
                  <c:v>0.009622489528566333</c:v>
                </c:pt>
                <c:pt idx="4">
                  <c:v>0.29675757706098566</c:v>
                </c:pt>
                <c:pt idx="5">
                  <c:v>24.247711363034302</c:v>
                </c:pt>
                <c:pt idx="6">
                  <c:v>0.002405622382141583</c:v>
                </c:pt>
                <c:pt idx="7">
                  <c:v>2.8892871958054416</c:v>
                </c:pt>
                <c:pt idx="8">
                  <c:v>0.182057501880475</c:v>
                </c:pt>
                <c:pt idx="9">
                  <c:v>7.344456546328774</c:v>
                </c:pt>
                <c:pt idx="10">
                  <c:v>11.51148044791919</c:v>
                </c:pt>
                <c:pt idx="11">
                  <c:v>0.04116019895844249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237</xdr:row>
      <xdr:rowOff>0</xdr:rowOff>
    </xdr:from>
    <xdr:to>
      <xdr:col>35</xdr:col>
      <xdr:colOff>257175</xdr:colOff>
      <xdr:row>237</xdr:row>
      <xdr:rowOff>0</xdr:rowOff>
    </xdr:to>
    <xdr:graphicFrame>
      <xdr:nvGraphicFramePr>
        <xdr:cNvPr id="1" name="Chart 9"/>
        <xdr:cNvGraphicFramePr/>
      </xdr:nvGraphicFramePr>
      <xdr:xfrm>
        <a:off x="11953875" y="21783675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95250</xdr:colOff>
      <xdr:row>237</xdr:row>
      <xdr:rowOff>0</xdr:rowOff>
    </xdr:from>
    <xdr:to>
      <xdr:col>35</xdr:col>
      <xdr:colOff>247650</xdr:colOff>
      <xdr:row>237</xdr:row>
      <xdr:rowOff>0</xdr:rowOff>
    </xdr:to>
    <xdr:graphicFrame>
      <xdr:nvGraphicFramePr>
        <xdr:cNvPr id="2" name="Chart 10"/>
        <xdr:cNvGraphicFramePr/>
      </xdr:nvGraphicFramePr>
      <xdr:xfrm>
        <a:off x="11934825" y="21783675"/>
        <a:ext cx="5734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295275</xdr:colOff>
      <xdr:row>237</xdr:row>
      <xdr:rowOff>0</xdr:rowOff>
    </xdr:from>
    <xdr:to>
      <xdr:col>35</xdr:col>
      <xdr:colOff>542925</xdr:colOff>
      <xdr:row>237</xdr:row>
      <xdr:rowOff>0</xdr:rowOff>
    </xdr:to>
    <xdr:graphicFrame>
      <xdr:nvGraphicFramePr>
        <xdr:cNvPr id="3" name="Chart 11"/>
        <xdr:cNvGraphicFramePr/>
      </xdr:nvGraphicFramePr>
      <xdr:xfrm>
        <a:off x="12134850" y="21783675"/>
        <a:ext cx="582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114300</xdr:colOff>
      <xdr:row>237</xdr:row>
      <xdr:rowOff>0</xdr:rowOff>
    </xdr:from>
    <xdr:to>
      <xdr:col>35</xdr:col>
      <xdr:colOff>257175</xdr:colOff>
      <xdr:row>237</xdr:row>
      <xdr:rowOff>0</xdr:rowOff>
    </xdr:to>
    <xdr:graphicFrame>
      <xdr:nvGraphicFramePr>
        <xdr:cNvPr id="4" name="Chart 12"/>
        <xdr:cNvGraphicFramePr/>
      </xdr:nvGraphicFramePr>
      <xdr:xfrm>
        <a:off x="11953875" y="21783675"/>
        <a:ext cx="5724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95250</xdr:colOff>
      <xdr:row>237</xdr:row>
      <xdr:rowOff>0</xdr:rowOff>
    </xdr:from>
    <xdr:to>
      <xdr:col>35</xdr:col>
      <xdr:colOff>247650</xdr:colOff>
      <xdr:row>237</xdr:row>
      <xdr:rowOff>0</xdr:rowOff>
    </xdr:to>
    <xdr:graphicFrame>
      <xdr:nvGraphicFramePr>
        <xdr:cNvPr id="5" name="Chart 13"/>
        <xdr:cNvGraphicFramePr/>
      </xdr:nvGraphicFramePr>
      <xdr:xfrm>
        <a:off x="11934825" y="2178367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295275</xdr:colOff>
      <xdr:row>237</xdr:row>
      <xdr:rowOff>0</xdr:rowOff>
    </xdr:from>
    <xdr:to>
      <xdr:col>35</xdr:col>
      <xdr:colOff>542925</xdr:colOff>
      <xdr:row>237</xdr:row>
      <xdr:rowOff>0</xdr:rowOff>
    </xdr:to>
    <xdr:graphicFrame>
      <xdr:nvGraphicFramePr>
        <xdr:cNvPr id="6" name="Chart 14"/>
        <xdr:cNvGraphicFramePr/>
      </xdr:nvGraphicFramePr>
      <xdr:xfrm>
        <a:off x="12134850" y="21783675"/>
        <a:ext cx="5829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208</xdr:row>
      <xdr:rowOff>0</xdr:rowOff>
    </xdr:from>
    <xdr:to>
      <xdr:col>10</xdr:col>
      <xdr:colOff>533400</xdr:colOff>
      <xdr:row>208</xdr:row>
      <xdr:rowOff>0</xdr:rowOff>
    </xdr:to>
    <xdr:graphicFrame>
      <xdr:nvGraphicFramePr>
        <xdr:cNvPr id="7" name="Chart 15"/>
        <xdr:cNvGraphicFramePr/>
      </xdr:nvGraphicFramePr>
      <xdr:xfrm>
        <a:off x="19050" y="17430750"/>
        <a:ext cx="4591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13</xdr:col>
      <xdr:colOff>561975</xdr:colOff>
      <xdr:row>208</xdr:row>
      <xdr:rowOff>0</xdr:rowOff>
    </xdr:to>
    <xdr:graphicFrame>
      <xdr:nvGraphicFramePr>
        <xdr:cNvPr id="8" name="Chart 16"/>
        <xdr:cNvGraphicFramePr/>
      </xdr:nvGraphicFramePr>
      <xdr:xfrm>
        <a:off x="0" y="17430750"/>
        <a:ext cx="6153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114300</xdr:colOff>
      <xdr:row>262</xdr:row>
      <xdr:rowOff>0</xdr:rowOff>
    </xdr:from>
    <xdr:to>
      <xdr:col>35</xdr:col>
      <xdr:colOff>257175</xdr:colOff>
      <xdr:row>262</xdr:row>
      <xdr:rowOff>0</xdr:rowOff>
    </xdr:to>
    <xdr:graphicFrame>
      <xdr:nvGraphicFramePr>
        <xdr:cNvPr id="9" name="Chart 23"/>
        <xdr:cNvGraphicFramePr/>
      </xdr:nvGraphicFramePr>
      <xdr:xfrm>
        <a:off x="11953875" y="25355550"/>
        <a:ext cx="57245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95250</xdr:colOff>
      <xdr:row>262</xdr:row>
      <xdr:rowOff>0</xdr:rowOff>
    </xdr:from>
    <xdr:to>
      <xdr:col>35</xdr:col>
      <xdr:colOff>247650</xdr:colOff>
      <xdr:row>262</xdr:row>
      <xdr:rowOff>0</xdr:rowOff>
    </xdr:to>
    <xdr:graphicFrame>
      <xdr:nvGraphicFramePr>
        <xdr:cNvPr id="10" name="Chart 24"/>
        <xdr:cNvGraphicFramePr/>
      </xdr:nvGraphicFramePr>
      <xdr:xfrm>
        <a:off x="11934825" y="25355550"/>
        <a:ext cx="5734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295275</xdr:colOff>
      <xdr:row>262</xdr:row>
      <xdr:rowOff>0</xdr:rowOff>
    </xdr:from>
    <xdr:to>
      <xdr:col>35</xdr:col>
      <xdr:colOff>542925</xdr:colOff>
      <xdr:row>262</xdr:row>
      <xdr:rowOff>0</xdr:rowOff>
    </xdr:to>
    <xdr:graphicFrame>
      <xdr:nvGraphicFramePr>
        <xdr:cNvPr id="11" name="Chart 25"/>
        <xdr:cNvGraphicFramePr/>
      </xdr:nvGraphicFramePr>
      <xdr:xfrm>
        <a:off x="12134850" y="25355550"/>
        <a:ext cx="58293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114300</xdr:colOff>
      <xdr:row>262</xdr:row>
      <xdr:rowOff>0</xdr:rowOff>
    </xdr:from>
    <xdr:to>
      <xdr:col>35</xdr:col>
      <xdr:colOff>257175</xdr:colOff>
      <xdr:row>262</xdr:row>
      <xdr:rowOff>0</xdr:rowOff>
    </xdr:to>
    <xdr:graphicFrame>
      <xdr:nvGraphicFramePr>
        <xdr:cNvPr id="12" name="Chart 26"/>
        <xdr:cNvGraphicFramePr/>
      </xdr:nvGraphicFramePr>
      <xdr:xfrm>
        <a:off x="11953875" y="25355550"/>
        <a:ext cx="57245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95250</xdr:colOff>
      <xdr:row>262</xdr:row>
      <xdr:rowOff>0</xdr:rowOff>
    </xdr:from>
    <xdr:to>
      <xdr:col>35</xdr:col>
      <xdr:colOff>247650</xdr:colOff>
      <xdr:row>262</xdr:row>
      <xdr:rowOff>0</xdr:rowOff>
    </xdr:to>
    <xdr:graphicFrame>
      <xdr:nvGraphicFramePr>
        <xdr:cNvPr id="13" name="Chart 27"/>
        <xdr:cNvGraphicFramePr/>
      </xdr:nvGraphicFramePr>
      <xdr:xfrm>
        <a:off x="11934825" y="25355550"/>
        <a:ext cx="5734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295275</xdr:colOff>
      <xdr:row>262</xdr:row>
      <xdr:rowOff>0</xdr:rowOff>
    </xdr:from>
    <xdr:to>
      <xdr:col>35</xdr:col>
      <xdr:colOff>542925</xdr:colOff>
      <xdr:row>262</xdr:row>
      <xdr:rowOff>0</xdr:rowOff>
    </xdr:to>
    <xdr:graphicFrame>
      <xdr:nvGraphicFramePr>
        <xdr:cNvPr id="14" name="Chart 28"/>
        <xdr:cNvGraphicFramePr/>
      </xdr:nvGraphicFramePr>
      <xdr:xfrm>
        <a:off x="12134850" y="25355550"/>
        <a:ext cx="58293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47625</xdr:colOff>
      <xdr:row>262</xdr:row>
      <xdr:rowOff>0</xdr:rowOff>
    </xdr:from>
    <xdr:to>
      <xdr:col>35</xdr:col>
      <xdr:colOff>647700</xdr:colOff>
      <xdr:row>262</xdr:row>
      <xdr:rowOff>0</xdr:rowOff>
    </xdr:to>
    <xdr:graphicFrame>
      <xdr:nvGraphicFramePr>
        <xdr:cNvPr id="15" name="Chart 29"/>
        <xdr:cNvGraphicFramePr/>
      </xdr:nvGraphicFramePr>
      <xdr:xfrm>
        <a:off x="11887200" y="25355550"/>
        <a:ext cx="6181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9525</xdr:colOff>
      <xdr:row>262</xdr:row>
      <xdr:rowOff>0</xdr:rowOff>
    </xdr:from>
    <xdr:to>
      <xdr:col>35</xdr:col>
      <xdr:colOff>561975</xdr:colOff>
      <xdr:row>262</xdr:row>
      <xdr:rowOff>0</xdr:rowOff>
    </xdr:to>
    <xdr:graphicFrame>
      <xdr:nvGraphicFramePr>
        <xdr:cNvPr id="16" name="Chart 30"/>
        <xdr:cNvGraphicFramePr/>
      </xdr:nvGraphicFramePr>
      <xdr:xfrm>
        <a:off x="11849100" y="25355550"/>
        <a:ext cx="61341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346</xdr:row>
      <xdr:rowOff>76200</xdr:rowOff>
    </xdr:from>
    <xdr:to>
      <xdr:col>39</xdr:col>
      <xdr:colOff>85725</xdr:colOff>
      <xdr:row>370</xdr:row>
      <xdr:rowOff>95250</xdr:rowOff>
    </xdr:to>
    <xdr:graphicFrame>
      <xdr:nvGraphicFramePr>
        <xdr:cNvPr id="1" name="Chart 1"/>
        <xdr:cNvGraphicFramePr/>
      </xdr:nvGraphicFramePr>
      <xdr:xfrm>
        <a:off x="11363325" y="31765875"/>
        <a:ext cx="8782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19050</xdr:colOff>
      <xdr:row>347</xdr:row>
      <xdr:rowOff>0</xdr:rowOff>
    </xdr:from>
    <xdr:to>
      <xdr:col>45</xdr:col>
      <xdr:colOff>133350</xdr:colOff>
      <xdr:row>371</xdr:row>
      <xdr:rowOff>95250</xdr:rowOff>
    </xdr:to>
    <xdr:graphicFrame>
      <xdr:nvGraphicFramePr>
        <xdr:cNvPr id="2" name="Chart 20"/>
        <xdr:cNvGraphicFramePr/>
      </xdr:nvGraphicFramePr>
      <xdr:xfrm>
        <a:off x="21164550" y="31832550"/>
        <a:ext cx="5543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001%20%20kulude%20%20oige%20vari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elarve%202011\2011%20%20Budge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001%20tulud%20oige%20varj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elarve%202011\2011%20%20Budget%20EUR%20I%20lisa%20Zinai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ummary"/>
      <sheetName val="volikogu"/>
      <sheetName val="valitsus"/>
      <sheetName val="arhiiv"/>
      <sheetName val="kaitseliit"/>
      <sheetName val="politsei"/>
      <sheetName val="mpk"/>
      <sheetName val="Koolid"/>
      <sheetName val="mg"/>
      <sheetName val="kpk"/>
      <sheetName val="mkk"/>
      <sheetName val="Koolieelsed asutused"/>
      <sheetName val="rõõm"/>
      <sheetName val="sipsik"/>
      <sheetName val="vikerkaar"/>
      <sheetName val="rukkilill"/>
      <sheetName val="mõk"/>
      <sheetName val="raamatukogu"/>
      <sheetName val="Ühendatud raamat"/>
      <sheetName val="Sheet1"/>
      <sheetName val="rahvamaja"/>
      <sheetName val="ajaleht"/>
      <sheetName val="kutsekeskus"/>
      <sheetName val="psv"/>
      <sheetName val="spordihoone"/>
      <sheetName val="sao"/>
      <sheetName val="shm"/>
      <sheetName val="matusebüroo"/>
      <sheetName val="haig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tulud"/>
      <sheetName val="Summary"/>
      <sheetName val="volikogu"/>
      <sheetName val="linnavalitsus"/>
      <sheetName val="asjaajamis"/>
      <sheetName val="arhiiv"/>
      <sheetName val="turvateenistus"/>
      <sheetName val="politsei"/>
      <sheetName val="majandusosakond"/>
      <sheetName val="buroo"/>
      <sheetName val="Infokeskus"/>
      <sheetName val="kunstidekool"/>
      <sheetName val="vabaaeg"/>
      <sheetName val="raamatukogu"/>
      <sheetName val="rahvamaja"/>
      <sheetName val="Linnakultuur"/>
      <sheetName val="TV ja ajaleht"/>
      <sheetName val="LPK_Room"/>
      <sheetName val="LPK_Rukkilill"/>
      <sheetName val="LPK_Sipsik"/>
      <sheetName val="Pohikool"/>
      <sheetName val="Keskkool"/>
      <sheetName val="Gumnaasium"/>
      <sheetName val="haridusnounik"/>
      <sheetName val="sotsmaja"/>
      <sheetName val="sotsabiosakond"/>
      <sheetName val="kontrollarv"/>
      <sheetName val="Sheet3"/>
      <sheetName val="register_arhitektuur"/>
      <sheetName val=" IT eelarve"/>
      <sheetName val="Sheet1"/>
      <sheetName val=" Infokeskus"/>
    </sheetNames>
    <sheetDataSet>
      <sheetData sheetId="0">
        <row r="12">
          <cell r="E12">
            <v>163569600</v>
          </cell>
          <cell r="F12">
            <v>214617352</v>
          </cell>
          <cell r="G12">
            <v>150978934</v>
          </cell>
          <cell r="H12">
            <v>195838982</v>
          </cell>
          <cell r="I12">
            <v>144276634</v>
          </cell>
        </row>
        <row r="13">
          <cell r="E13">
            <v>148970000</v>
          </cell>
          <cell r="F13">
            <v>149670000</v>
          </cell>
          <cell r="G13">
            <v>137770000</v>
          </cell>
          <cell r="H13">
            <v>137770000</v>
          </cell>
          <cell r="I13">
            <v>130965000</v>
          </cell>
        </row>
        <row r="14">
          <cell r="E14">
            <v>125500000</v>
          </cell>
          <cell r="F14">
            <v>125000000</v>
          </cell>
          <cell r="G14">
            <v>111300000</v>
          </cell>
          <cell r="H14">
            <v>111300000</v>
          </cell>
          <cell r="I14">
            <v>105000000</v>
          </cell>
        </row>
        <row r="15">
          <cell r="E15">
            <v>125500000</v>
          </cell>
          <cell r="F15">
            <v>125000000</v>
          </cell>
          <cell r="G15">
            <v>111300000</v>
          </cell>
          <cell r="H15">
            <v>111300000</v>
          </cell>
          <cell r="I15">
            <v>105000000</v>
          </cell>
        </row>
        <row r="16">
          <cell r="E16">
            <v>22000000</v>
          </cell>
          <cell r="F16">
            <v>23200000</v>
          </cell>
          <cell r="G16">
            <v>25000000</v>
          </cell>
          <cell r="H16">
            <v>25000000</v>
          </cell>
          <cell r="I16">
            <v>25000000</v>
          </cell>
        </row>
        <row r="17">
          <cell r="E17">
            <v>22000000</v>
          </cell>
          <cell r="F17">
            <v>23200000</v>
          </cell>
          <cell r="G17">
            <v>25000000</v>
          </cell>
          <cell r="H17">
            <v>25000000</v>
          </cell>
          <cell r="I17">
            <v>25000000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1470000</v>
          </cell>
          <cell r="F20">
            <v>1470000</v>
          </cell>
          <cell r="G20">
            <v>1470000</v>
          </cell>
          <cell r="H20">
            <v>1470000</v>
          </cell>
          <cell r="I20">
            <v>965000</v>
          </cell>
        </row>
        <row r="21">
          <cell r="E21">
            <v>1450000</v>
          </cell>
          <cell r="F21">
            <v>1450000</v>
          </cell>
          <cell r="G21">
            <v>1450000</v>
          </cell>
          <cell r="H21">
            <v>1450000</v>
          </cell>
          <cell r="I21">
            <v>950000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20000</v>
          </cell>
          <cell r="F23">
            <v>20000</v>
          </cell>
          <cell r="G23">
            <v>20000</v>
          </cell>
          <cell r="H23">
            <v>20000</v>
          </cell>
          <cell r="I23">
            <v>15000</v>
          </cell>
        </row>
        <row r="24">
          <cell r="E24">
            <v>0</v>
          </cell>
          <cell r="F24" t="e">
            <v>#REF!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 t="e">
            <v>#REF!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 t="e">
            <v>#REF!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13497600</v>
          </cell>
          <cell r="F27">
            <v>15118868</v>
          </cell>
          <cell r="G27">
            <v>12258934</v>
          </cell>
          <cell r="H27">
            <v>12409036</v>
          </cell>
          <cell r="I27">
            <v>12269934</v>
          </cell>
        </row>
        <row r="28">
          <cell r="E28">
            <v>597000</v>
          </cell>
          <cell r="F28">
            <v>679000</v>
          </cell>
          <cell r="G28">
            <v>479000</v>
          </cell>
          <cell r="H28">
            <v>379000</v>
          </cell>
          <cell r="I28">
            <v>371000</v>
          </cell>
        </row>
        <row r="29">
          <cell r="E29">
            <v>500000</v>
          </cell>
          <cell r="F29">
            <v>600000</v>
          </cell>
          <cell r="G29">
            <v>400000</v>
          </cell>
          <cell r="H29">
            <v>300000</v>
          </cell>
          <cell r="I29">
            <v>300000</v>
          </cell>
        </row>
        <row r="30">
          <cell r="E30">
            <v>50000</v>
          </cell>
          <cell r="F30">
            <v>35000</v>
          </cell>
          <cell r="G30">
            <v>35000</v>
          </cell>
          <cell r="H30">
            <v>35000</v>
          </cell>
          <cell r="I30">
            <v>30000</v>
          </cell>
        </row>
        <row r="31">
          <cell r="E31">
            <v>7000</v>
          </cell>
          <cell r="F31">
            <v>4000</v>
          </cell>
          <cell r="G31">
            <v>4000</v>
          </cell>
          <cell r="H31">
            <v>4000</v>
          </cell>
          <cell r="I31">
            <v>1000</v>
          </cell>
        </row>
        <row r="32">
          <cell r="E32">
            <v>40000</v>
          </cell>
          <cell r="F32">
            <v>40000</v>
          </cell>
          <cell r="G32">
            <v>40000</v>
          </cell>
          <cell r="H32">
            <v>40000</v>
          </cell>
          <cell r="I32">
            <v>40000</v>
          </cell>
        </row>
        <row r="33">
          <cell r="E33">
            <v>10470600</v>
          </cell>
          <cell r="F33">
            <v>10639946</v>
          </cell>
          <cell r="G33">
            <v>9544934</v>
          </cell>
          <cell r="H33">
            <v>9729469</v>
          </cell>
          <cell r="I33">
            <v>9554934</v>
          </cell>
        </row>
        <row r="34">
          <cell r="E34">
            <v>9970600</v>
          </cell>
          <cell r="F34">
            <v>10134346</v>
          </cell>
          <cell r="G34">
            <v>9029934</v>
          </cell>
          <cell r="H34">
            <v>8911934</v>
          </cell>
          <cell r="I34">
            <v>8960934</v>
          </cell>
        </row>
        <row r="35">
          <cell r="E35">
            <v>2559000</v>
          </cell>
          <cell r="F35">
            <v>2559000</v>
          </cell>
          <cell r="G35">
            <v>2585000</v>
          </cell>
          <cell r="H35">
            <v>2585000</v>
          </cell>
          <cell r="I35">
            <v>2610000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1180000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825000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605000</v>
          </cell>
        </row>
        <row r="39">
          <cell r="E39">
            <v>2220000</v>
          </cell>
          <cell r="F39">
            <v>2359000</v>
          </cell>
          <cell r="G39">
            <v>2310000</v>
          </cell>
          <cell r="H39">
            <v>2310000</v>
          </cell>
          <cell r="I39">
            <v>2330000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1090000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700000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540000</v>
          </cell>
        </row>
        <row r="44">
          <cell r="E44">
            <v>191600</v>
          </cell>
          <cell r="F44">
            <v>216346</v>
          </cell>
          <cell r="G44">
            <v>134934</v>
          </cell>
          <cell r="H44">
            <v>16934</v>
          </cell>
          <cell r="I44">
            <v>20934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16934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4000</v>
          </cell>
        </row>
        <row r="47">
          <cell r="E47">
            <v>5000000</v>
          </cell>
          <cell r="F47">
            <v>5000000</v>
          </cell>
          <cell r="G47">
            <v>4000000</v>
          </cell>
          <cell r="H47">
            <v>4000000</v>
          </cell>
          <cell r="I47">
            <v>4000000</v>
          </cell>
        </row>
        <row r="48">
          <cell r="E48">
            <v>500000</v>
          </cell>
          <cell r="F48">
            <v>503800</v>
          </cell>
          <cell r="G48">
            <v>515000</v>
          </cell>
          <cell r="H48">
            <v>504000</v>
          </cell>
          <cell r="I48">
            <v>594000</v>
          </cell>
        </row>
        <row r="49">
          <cell r="E49">
            <v>450000</v>
          </cell>
          <cell r="F49">
            <v>450000</v>
          </cell>
          <cell r="G49">
            <v>461000</v>
          </cell>
          <cell r="H49">
            <v>450000</v>
          </cell>
          <cell r="I49">
            <v>461000</v>
          </cell>
        </row>
        <row r="50">
          <cell r="E50">
            <v>45000</v>
          </cell>
          <cell r="F50">
            <v>50000</v>
          </cell>
          <cell r="G50">
            <v>50000</v>
          </cell>
          <cell r="H50">
            <v>50000</v>
          </cell>
          <cell r="I50">
            <v>50000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5000</v>
          </cell>
          <cell r="F52">
            <v>3800</v>
          </cell>
          <cell r="G52">
            <v>4000</v>
          </cell>
          <cell r="H52">
            <v>4000</v>
          </cell>
          <cell r="I52">
            <v>5000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78000</v>
          </cell>
        </row>
        <row r="60">
          <cell r="E60">
            <v>0</v>
          </cell>
          <cell r="F60">
            <v>1800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313535</v>
          </cell>
          <cell r="I63">
            <v>0</v>
          </cell>
        </row>
        <row r="64">
          <cell r="E64">
            <v>2430000</v>
          </cell>
          <cell r="F64">
            <v>3799922</v>
          </cell>
          <cell r="G64">
            <v>2235000</v>
          </cell>
          <cell r="H64">
            <v>2300567</v>
          </cell>
          <cell r="I64">
            <v>2344000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E67">
            <v>1350000</v>
          </cell>
          <cell r="F67">
            <v>1914922</v>
          </cell>
          <cell r="G67">
            <v>785000</v>
          </cell>
          <cell r="H67">
            <v>1740500</v>
          </cell>
          <cell r="I67">
            <v>1743000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700000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7000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6000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38000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70000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33000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850000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13000</v>
          </cell>
        </row>
        <row r="77">
          <cell r="E77">
            <v>550000</v>
          </cell>
          <cell r="F77">
            <v>725000</v>
          </cell>
          <cell r="G77">
            <v>500000</v>
          </cell>
          <cell r="H77">
            <v>500000</v>
          </cell>
          <cell r="I77">
            <v>600000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E81">
            <v>530000</v>
          </cell>
          <cell r="F81">
            <v>1160000</v>
          </cell>
          <cell r="G81">
            <v>950000</v>
          </cell>
          <cell r="H81">
            <v>60067</v>
          </cell>
          <cell r="I81">
            <v>1000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E83">
            <v>0</v>
          </cell>
          <cell r="F83">
            <v>41100623</v>
          </cell>
          <cell r="G83">
            <v>0</v>
          </cell>
          <cell r="H83">
            <v>40685297</v>
          </cell>
          <cell r="I83">
            <v>0</v>
          </cell>
        </row>
        <row r="84">
          <cell r="E84">
            <v>0</v>
          </cell>
          <cell r="F84">
            <v>3566475</v>
          </cell>
          <cell r="G84">
            <v>0</v>
          </cell>
          <cell r="H84">
            <v>2995020</v>
          </cell>
          <cell r="I84">
            <v>0</v>
          </cell>
        </row>
        <row r="85">
          <cell r="E85">
            <v>0</v>
          </cell>
          <cell r="F85">
            <v>1199575</v>
          </cell>
          <cell r="G85">
            <v>0</v>
          </cell>
          <cell r="H85">
            <v>1124920</v>
          </cell>
          <cell r="I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E91">
            <v>0</v>
          </cell>
          <cell r="F91">
            <v>128800</v>
          </cell>
          <cell r="G91">
            <v>0</v>
          </cell>
          <cell r="H91">
            <v>0</v>
          </cell>
          <cell r="I91">
            <v>0</v>
          </cell>
        </row>
        <row r="92">
          <cell r="E92">
            <v>0</v>
          </cell>
          <cell r="F92">
            <v>266416</v>
          </cell>
          <cell r="G92">
            <v>0</v>
          </cell>
          <cell r="H92">
            <v>236619</v>
          </cell>
          <cell r="I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E94">
            <v>0</v>
          </cell>
          <cell r="F94">
            <v>179617</v>
          </cell>
          <cell r="G94">
            <v>0</v>
          </cell>
          <cell r="H94">
            <v>73555</v>
          </cell>
          <cell r="I94">
            <v>0</v>
          </cell>
        </row>
        <row r="95">
          <cell r="E95">
            <v>0</v>
          </cell>
          <cell r="F95">
            <v>223871</v>
          </cell>
          <cell r="G95">
            <v>0</v>
          </cell>
          <cell r="H95">
            <v>279100</v>
          </cell>
          <cell r="I95">
            <v>0</v>
          </cell>
        </row>
        <row r="96">
          <cell r="E96">
            <v>0</v>
          </cell>
          <cell r="F96">
            <v>51000</v>
          </cell>
          <cell r="G96">
            <v>0</v>
          </cell>
          <cell r="H96">
            <v>51864</v>
          </cell>
          <cell r="I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E98">
            <v>0</v>
          </cell>
          <cell r="F98">
            <v>134239</v>
          </cell>
          <cell r="G98">
            <v>0</v>
          </cell>
          <cell r="H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47978</v>
          </cell>
          <cell r="I99">
            <v>0</v>
          </cell>
        </row>
        <row r="100">
          <cell r="E100">
            <v>0</v>
          </cell>
          <cell r="F100">
            <v>109540</v>
          </cell>
          <cell r="G100">
            <v>0</v>
          </cell>
          <cell r="H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E105">
            <v>0</v>
          </cell>
          <cell r="F105">
            <v>106092</v>
          </cell>
          <cell r="G105">
            <v>0</v>
          </cell>
          <cell r="H105">
            <v>435804</v>
          </cell>
          <cell r="I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0</v>
          </cell>
          <cell r="F107">
            <v>2366900</v>
          </cell>
          <cell r="G107">
            <v>0</v>
          </cell>
          <cell r="H107">
            <v>1870100</v>
          </cell>
          <cell r="I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1866900</v>
          </cell>
          <cell r="G112">
            <v>0</v>
          </cell>
          <cell r="H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1866900</v>
          </cell>
          <cell r="G115">
            <v>0</v>
          </cell>
          <cell r="H115">
            <v>1870100</v>
          </cell>
          <cell r="I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F118">
            <v>500000</v>
          </cell>
          <cell r="G118">
            <v>0</v>
          </cell>
          <cell r="H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E120">
            <v>0</v>
          </cell>
          <cell r="F120">
            <v>37534148</v>
          </cell>
          <cell r="G120">
            <v>0</v>
          </cell>
          <cell r="H120">
            <v>37690277</v>
          </cell>
          <cell r="I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E125">
            <v>0</v>
          </cell>
          <cell r="F125">
            <v>37532006</v>
          </cell>
          <cell r="G125">
            <v>0</v>
          </cell>
          <cell r="H125">
            <v>37690277</v>
          </cell>
          <cell r="I125">
            <v>0</v>
          </cell>
        </row>
        <row r="126">
          <cell r="E126">
            <v>0</v>
          </cell>
          <cell r="F126">
            <v>37532006</v>
          </cell>
          <cell r="G126">
            <v>0</v>
          </cell>
          <cell r="H126">
            <v>37690277</v>
          </cell>
          <cell r="I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E128">
            <v>0</v>
          </cell>
          <cell r="F128">
            <v>37532006</v>
          </cell>
          <cell r="G128">
            <v>0</v>
          </cell>
          <cell r="H128">
            <v>37690277</v>
          </cell>
          <cell r="I128">
            <v>0</v>
          </cell>
        </row>
        <row r="129">
          <cell r="E129">
            <v>0</v>
          </cell>
          <cell r="F129">
            <v>29943189</v>
          </cell>
          <cell r="G129">
            <v>0</v>
          </cell>
          <cell r="H129">
            <v>29131832</v>
          </cell>
          <cell r="I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E134">
            <v>0</v>
          </cell>
          <cell r="F134">
            <v>4886913</v>
          </cell>
          <cell r="G134">
            <v>0</v>
          </cell>
          <cell r="H134">
            <v>5470000</v>
          </cell>
          <cell r="I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>
            <v>0</v>
          </cell>
          <cell r="F136">
            <v>2186964</v>
          </cell>
          <cell r="G136">
            <v>0</v>
          </cell>
          <cell r="H136">
            <v>2221075</v>
          </cell>
          <cell r="I136">
            <v>0</v>
          </cell>
        </row>
        <row r="137">
          <cell r="E137">
            <v>0</v>
          </cell>
          <cell r="F137">
            <v>514940</v>
          </cell>
          <cell r="G137">
            <v>0</v>
          </cell>
          <cell r="H137">
            <v>867370</v>
          </cell>
          <cell r="I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E141">
            <v>0</v>
          </cell>
          <cell r="F141">
            <v>2142</v>
          </cell>
          <cell r="G141">
            <v>0</v>
          </cell>
          <cell r="H141">
            <v>0</v>
          </cell>
          <cell r="I141">
            <v>0</v>
          </cell>
        </row>
        <row r="142">
          <cell r="E142">
            <v>1102000</v>
          </cell>
          <cell r="F142">
            <v>8727861</v>
          </cell>
          <cell r="G142">
            <v>950000</v>
          </cell>
          <cell r="H142">
            <v>4974649</v>
          </cell>
          <cell r="I142">
            <v>1041700</v>
          </cell>
        </row>
        <row r="143">
          <cell r="E143">
            <v>500000</v>
          </cell>
          <cell r="F143">
            <v>1173940</v>
          </cell>
          <cell r="G143">
            <v>400000</v>
          </cell>
          <cell r="H143">
            <v>2500000</v>
          </cell>
          <cell r="I143">
            <v>420000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E145">
            <v>0</v>
          </cell>
          <cell r="F145">
            <v>673940</v>
          </cell>
          <cell r="G145">
            <v>0</v>
          </cell>
          <cell r="H145">
            <v>2100000</v>
          </cell>
          <cell r="I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E150">
            <v>500000</v>
          </cell>
          <cell r="F150">
            <v>500000</v>
          </cell>
          <cell r="G150">
            <v>400000</v>
          </cell>
          <cell r="H150">
            <v>400000</v>
          </cell>
          <cell r="I150">
            <v>420000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E160">
            <v>2000</v>
          </cell>
          <cell r="F160">
            <v>2000</v>
          </cell>
          <cell r="G160">
            <v>0</v>
          </cell>
          <cell r="H160">
            <v>1894649</v>
          </cell>
          <cell r="I160">
            <v>1700</v>
          </cell>
        </row>
        <row r="161">
          <cell r="E161">
            <v>2000</v>
          </cell>
          <cell r="F161">
            <v>2000</v>
          </cell>
          <cell r="G161">
            <v>0</v>
          </cell>
          <cell r="H161">
            <v>1664</v>
          </cell>
          <cell r="I161">
            <v>1700</v>
          </cell>
        </row>
        <row r="162">
          <cell r="E162">
            <v>2000</v>
          </cell>
          <cell r="F162">
            <v>2000</v>
          </cell>
          <cell r="G162">
            <v>0</v>
          </cell>
          <cell r="H162">
            <v>1664</v>
          </cell>
          <cell r="I162">
            <v>1700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1892985</v>
          </cell>
          <cell r="I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E175">
            <v>600000</v>
          </cell>
          <cell r="F175">
            <v>7551921</v>
          </cell>
          <cell r="G175">
            <v>550000</v>
          </cell>
          <cell r="H175">
            <v>580000</v>
          </cell>
          <cell r="I175">
            <v>620000</v>
          </cell>
        </row>
        <row r="176">
          <cell r="E176">
            <v>150000</v>
          </cell>
          <cell r="F176">
            <v>250000</v>
          </cell>
          <cell r="G176">
            <v>150000</v>
          </cell>
          <cell r="H176">
            <v>180000</v>
          </cell>
          <cell r="I176">
            <v>210000</v>
          </cell>
        </row>
        <row r="177">
          <cell r="E177">
            <v>450000</v>
          </cell>
          <cell r="F177">
            <v>550000</v>
          </cell>
          <cell r="G177">
            <v>400000</v>
          </cell>
          <cell r="H177">
            <v>400000</v>
          </cell>
          <cell r="I177">
            <v>410000</v>
          </cell>
        </row>
        <row r="178">
          <cell r="E178">
            <v>0</v>
          </cell>
          <cell r="F178">
            <v>6751921</v>
          </cell>
          <cell r="G178">
            <v>0</v>
          </cell>
          <cell r="H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E182">
            <v>0</v>
          </cell>
          <cell r="F182">
            <v>663322</v>
          </cell>
          <cell r="G182">
            <v>0</v>
          </cell>
          <cell r="H182">
            <v>653830</v>
          </cell>
          <cell r="I182">
            <v>0</v>
          </cell>
        </row>
        <row r="183">
          <cell r="E183">
            <v>163569600</v>
          </cell>
          <cell r="F183">
            <v>215280674</v>
          </cell>
          <cell r="G183">
            <v>150978934</v>
          </cell>
          <cell r="H183">
            <v>196492812</v>
          </cell>
          <cell r="I183">
            <v>144276634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E185">
            <v>152019000</v>
          </cell>
          <cell r="F185">
            <v>162878925</v>
          </cell>
          <cell r="G185">
            <v>139199000</v>
          </cell>
          <cell r="H185">
            <v>144037184</v>
          </cell>
          <cell r="I185">
            <v>132377700</v>
          </cell>
        </row>
        <row r="186">
          <cell r="E186">
            <v>0</v>
          </cell>
          <cell r="F186">
            <v>41098481</v>
          </cell>
          <cell r="G186">
            <v>0</v>
          </cell>
          <cell r="H186">
            <v>40685297</v>
          </cell>
          <cell r="I186">
            <v>0</v>
          </cell>
        </row>
        <row r="187">
          <cell r="E187">
            <v>11550600</v>
          </cell>
          <cell r="F187">
            <v>10639946</v>
          </cell>
          <cell r="G187">
            <v>11779934</v>
          </cell>
          <cell r="H187">
            <v>11116501</v>
          </cell>
          <cell r="I187">
            <v>11898934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E190">
            <v>0</v>
          </cell>
          <cell r="F190">
            <v>663322</v>
          </cell>
          <cell r="G190">
            <v>0</v>
          </cell>
          <cell r="H190">
            <v>653830</v>
          </cell>
          <cell r="I190">
            <v>0</v>
          </cell>
        </row>
        <row r="191">
          <cell r="E191">
            <v>163569600</v>
          </cell>
          <cell r="F191">
            <v>215280674</v>
          </cell>
          <cell r="G191">
            <v>150978934</v>
          </cell>
          <cell r="H191">
            <v>196492812</v>
          </cell>
          <cell r="I191">
            <v>144276634</v>
          </cell>
        </row>
        <row r="193">
          <cell r="E193">
            <v>11550600</v>
          </cell>
          <cell r="G193">
            <v>11779934</v>
          </cell>
          <cell r="H193">
            <v>52465231</v>
          </cell>
          <cell r="I193">
            <v>11898934</v>
          </cell>
        </row>
        <row r="194">
          <cell r="E194">
            <v>152019000</v>
          </cell>
          <cell r="G194">
            <v>139199000</v>
          </cell>
          <cell r="H194">
            <v>144027581</v>
          </cell>
          <cell r="I194">
            <v>132377700</v>
          </cell>
        </row>
        <row r="195">
          <cell r="E195">
            <v>163569600</v>
          </cell>
          <cell r="G195">
            <v>150978934</v>
          </cell>
          <cell r="H195">
            <v>196492812</v>
          </cell>
          <cell r="I195">
            <v>144276634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E197">
            <v>163569600</v>
          </cell>
          <cell r="G197">
            <v>150978934</v>
          </cell>
          <cell r="H197">
            <v>196492812</v>
          </cell>
          <cell r="I197">
            <v>144276634</v>
          </cell>
        </row>
        <row r="198">
          <cell r="E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E199">
            <v>98141760</v>
          </cell>
          <cell r="G199">
            <v>90587360.39999999</v>
          </cell>
          <cell r="H199">
            <v>117895687.2</v>
          </cell>
          <cell r="I199">
            <v>0</v>
          </cell>
        </row>
      </sheetData>
      <sheetData sheetId="1">
        <row r="9">
          <cell r="E9">
            <v>153788668.069</v>
          </cell>
          <cell r="F9">
            <v>208343142</v>
          </cell>
          <cell r="G9">
            <v>142014140.514</v>
          </cell>
          <cell r="H9">
            <v>186728881.37300003</v>
          </cell>
        </row>
        <row r="10">
          <cell r="E10">
            <v>28621846.907</v>
          </cell>
          <cell r="F10">
            <v>24709677</v>
          </cell>
          <cell r="G10">
            <v>25875030.400000002</v>
          </cell>
          <cell r="H10">
            <v>27467713.720000003</v>
          </cell>
        </row>
        <row r="11">
          <cell r="E11">
            <v>0</v>
          </cell>
          <cell r="F11">
            <v>0</v>
          </cell>
        </row>
        <row r="12">
          <cell r="E12">
            <v>1859950.03</v>
          </cell>
          <cell r="F12">
            <v>1986030</v>
          </cell>
          <cell r="G12">
            <v>1949720.48</v>
          </cell>
          <cell r="H12">
            <v>1990720.48</v>
          </cell>
          <cell r="I12">
            <v>1942133.6</v>
          </cell>
        </row>
        <row r="13">
          <cell r="E13">
            <v>17493325.877</v>
          </cell>
          <cell r="F13">
            <v>16088780</v>
          </cell>
          <cell r="G13">
            <v>15294410.920000002</v>
          </cell>
          <cell r="H13">
            <v>15328755.240000002</v>
          </cell>
        </row>
        <row r="14">
          <cell r="E14">
            <v>12716156.633</v>
          </cell>
          <cell r="F14">
            <v>13600800</v>
          </cell>
          <cell r="G14">
            <v>13256797.120000001</v>
          </cell>
          <cell r="H14">
            <v>13280437.440000001</v>
          </cell>
        </row>
        <row r="15">
          <cell r="E15">
            <v>1969094.27</v>
          </cell>
          <cell r="F15">
            <v>419057.876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2428404.747</v>
          </cell>
          <cell r="F16">
            <v>1689250.747</v>
          </cell>
          <cell r="G16">
            <v>1670860.8</v>
          </cell>
          <cell r="H16">
            <v>1670860.8</v>
          </cell>
          <cell r="I16">
            <v>0</v>
          </cell>
        </row>
        <row r="17">
          <cell r="E17">
            <v>379671.227</v>
          </cell>
          <cell r="F17">
            <v>379671.227</v>
          </cell>
          <cell r="G17">
            <v>366753</v>
          </cell>
          <cell r="H17">
            <v>377457</v>
          </cell>
          <cell r="I17">
            <v>360038.4</v>
          </cell>
        </row>
        <row r="18">
          <cell r="E18">
            <v>4700000</v>
          </cell>
          <cell r="F18">
            <v>1848048</v>
          </cell>
          <cell r="G18">
            <v>4723421</v>
          </cell>
          <cell r="H18">
            <v>6204460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3000000</v>
          </cell>
          <cell r="F20">
            <v>2660032</v>
          </cell>
          <cell r="G20">
            <v>2173421</v>
          </cell>
          <cell r="H20">
            <v>4551533</v>
          </cell>
          <cell r="I20">
            <v>4299729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74000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120000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1700000</v>
          </cell>
          <cell r="F25">
            <v>-811984</v>
          </cell>
          <cell r="G25">
            <v>800000</v>
          </cell>
          <cell r="H25">
            <v>250000</v>
          </cell>
          <cell r="I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958927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250000</v>
          </cell>
          <cell r="H27">
            <v>250000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1500000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747011</v>
          </cell>
          <cell r="G29">
            <v>0</v>
          </cell>
          <cell r="H29">
            <v>1520500</v>
          </cell>
          <cell r="I29">
            <v>0</v>
          </cell>
        </row>
        <row r="30">
          <cell r="E30">
            <v>500000</v>
          </cell>
          <cell r="F30">
            <v>766530</v>
          </cell>
          <cell r="G30">
            <v>405000</v>
          </cell>
          <cell r="H30">
            <v>405000</v>
          </cell>
          <cell r="I30">
            <v>400000</v>
          </cell>
        </row>
        <row r="31">
          <cell r="E31">
            <v>500000</v>
          </cell>
          <cell r="F31">
            <v>387471</v>
          </cell>
          <cell r="G31">
            <v>405000</v>
          </cell>
          <cell r="H31">
            <v>405000</v>
          </cell>
          <cell r="I31">
            <v>400000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107200</v>
          </cell>
          <cell r="F33">
            <v>106316</v>
          </cell>
          <cell r="G33">
            <v>107000</v>
          </cell>
          <cell r="H33">
            <v>107000</v>
          </cell>
          <cell r="I33">
            <v>95000</v>
          </cell>
        </row>
        <row r="34">
          <cell r="E34">
            <v>371500</v>
          </cell>
          <cell r="F34">
            <v>244952</v>
          </cell>
          <cell r="G34">
            <v>261797</v>
          </cell>
          <cell r="H34">
            <v>261797</v>
          </cell>
          <cell r="I34">
            <v>269500</v>
          </cell>
        </row>
        <row r="35">
          <cell r="E35">
            <v>11800</v>
          </cell>
          <cell r="F35">
            <v>11285</v>
          </cell>
          <cell r="G35">
            <v>24918</v>
          </cell>
          <cell r="H35">
            <v>24918</v>
          </cell>
          <cell r="I35">
            <v>24000</v>
          </cell>
        </row>
        <row r="36">
          <cell r="E36">
            <v>9500</v>
          </cell>
          <cell r="F36">
            <v>24918</v>
          </cell>
          <cell r="G36">
            <v>11285</v>
          </cell>
          <cell r="H36">
            <v>11285</v>
          </cell>
          <cell r="I36">
            <v>11500</v>
          </cell>
        </row>
        <row r="37">
          <cell r="E37">
            <v>0</v>
          </cell>
          <cell r="F37">
            <v>359540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4068571</v>
          </cell>
          <cell r="F38">
            <v>4039808</v>
          </cell>
          <cell r="G38">
            <v>3502478</v>
          </cell>
          <cell r="H38">
            <v>2018278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3718571</v>
          </cell>
          <cell r="F41">
            <v>3661808</v>
          </cell>
          <cell r="G41">
            <v>3102478</v>
          </cell>
          <cell r="H41">
            <v>1644278</v>
          </cell>
          <cell r="I41">
            <v>1644278</v>
          </cell>
        </row>
        <row r="42">
          <cell r="E42">
            <v>350000</v>
          </cell>
          <cell r="F42">
            <v>378000</v>
          </cell>
          <cell r="G42">
            <v>400000</v>
          </cell>
          <cell r="H42">
            <v>374000</v>
          </cell>
          <cell r="I42">
            <v>374000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E54">
            <v>355000</v>
          </cell>
          <cell r="F54">
            <v>573960</v>
          </cell>
          <cell r="G54">
            <v>204622</v>
          </cell>
          <cell r="H54">
            <v>252622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15000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15000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48000</v>
          </cell>
          <cell r="G61">
            <v>0</v>
          </cell>
          <cell r="H61">
            <v>48000</v>
          </cell>
          <cell r="I61">
            <v>48000</v>
          </cell>
        </row>
        <row r="62">
          <cell r="E62">
            <v>0</v>
          </cell>
          <cell r="F62">
            <v>525960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340000</v>
          </cell>
          <cell r="F63">
            <v>417533</v>
          </cell>
          <cell r="G63">
            <v>204622</v>
          </cell>
          <cell r="H63">
            <v>204622</v>
          </cell>
          <cell r="I63">
            <v>204622</v>
          </cell>
        </row>
        <row r="64">
          <cell r="E64">
            <v>0</v>
          </cell>
          <cell r="F64">
            <v>72467</v>
          </cell>
          <cell r="G64">
            <v>0</v>
          </cell>
          <cell r="H64">
            <v>0</v>
          </cell>
          <cell r="I64">
            <v>0</v>
          </cell>
        </row>
        <row r="65">
          <cell r="E65">
            <v>35095940.852000006</v>
          </cell>
          <cell r="F65">
            <v>42836804</v>
          </cell>
          <cell r="G65">
            <v>33544536.46</v>
          </cell>
          <cell r="H65">
            <v>37661173.863000005</v>
          </cell>
          <cell r="I65">
            <v>35005812.68</v>
          </cell>
        </row>
        <row r="66">
          <cell r="E66">
            <v>16555069.604</v>
          </cell>
          <cell r="F66">
            <v>23336793</v>
          </cell>
          <cell r="G66">
            <v>19493240.92</v>
          </cell>
          <cell r="H66">
            <v>23855480.208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E71">
            <v>0</v>
          </cell>
          <cell r="F71">
            <v>337600</v>
          </cell>
          <cell r="G71">
            <v>546000</v>
          </cell>
          <cell r="H71">
            <v>546000</v>
          </cell>
          <cell r="I71">
            <v>350000</v>
          </cell>
        </row>
        <row r="72">
          <cell r="E72">
            <v>0</v>
          </cell>
          <cell r="F72">
            <v>207600</v>
          </cell>
          <cell r="G72">
            <v>546000</v>
          </cell>
          <cell r="H72">
            <v>546000</v>
          </cell>
          <cell r="I72">
            <v>350000</v>
          </cell>
        </row>
        <row r="73">
          <cell r="E73">
            <v>0</v>
          </cell>
          <cell r="F73">
            <v>130000</v>
          </cell>
          <cell r="G73">
            <v>0</v>
          </cell>
          <cell r="H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E80">
            <v>10008209</v>
          </cell>
          <cell r="F80">
            <v>13615609</v>
          </cell>
          <cell r="G80">
            <v>10940000</v>
          </cell>
          <cell r="H80">
            <v>13745100</v>
          </cell>
        </row>
        <row r="81">
          <cell r="E81">
            <v>0</v>
          </cell>
          <cell r="F81">
            <v>400000</v>
          </cell>
          <cell r="G81">
            <v>0</v>
          </cell>
          <cell r="H81">
            <v>2299240</v>
          </cell>
          <cell r="I81">
            <v>5000000</v>
          </cell>
        </row>
        <row r="82">
          <cell r="E82">
            <v>7618209</v>
          </cell>
          <cell r="F82">
            <v>11887009</v>
          </cell>
          <cell r="G82">
            <v>9390000</v>
          </cell>
          <cell r="H82">
            <v>8960860</v>
          </cell>
          <cell r="I82">
            <v>6550961</v>
          </cell>
        </row>
        <row r="83">
          <cell r="E83">
            <v>800000</v>
          </cell>
          <cell r="F83">
            <v>341600</v>
          </cell>
          <cell r="G83">
            <v>280000</v>
          </cell>
          <cell r="H83">
            <v>29000</v>
          </cell>
          <cell r="I83">
            <v>300000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1186000</v>
          </cell>
          <cell r="I84">
            <v>0</v>
          </cell>
        </row>
        <row r="85">
          <cell r="E85">
            <v>1590000</v>
          </cell>
          <cell r="F85">
            <v>987000</v>
          </cell>
          <cell r="G85">
            <v>1270000</v>
          </cell>
          <cell r="H85">
            <v>1270000</v>
          </cell>
          <cell r="I85">
            <v>1270000</v>
          </cell>
        </row>
        <row r="86">
          <cell r="E86">
            <v>0</v>
          </cell>
          <cell r="F86">
            <v>1003825</v>
          </cell>
          <cell r="G86">
            <v>300000</v>
          </cell>
          <cell r="H86">
            <v>300000</v>
          </cell>
          <cell r="I86">
            <v>300000</v>
          </cell>
        </row>
        <row r="87">
          <cell r="E87">
            <v>0</v>
          </cell>
          <cell r="F87">
            <v>500000</v>
          </cell>
          <cell r="G87">
            <v>0</v>
          </cell>
          <cell r="H87">
            <v>0</v>
          </cell>
          <cell r="I87">
            <v>0</v>
          </cell>
        </row>
        <row r="88">
          <cell r="E88">
            <v>0</v>
          </cell>
          <cell r="F88">
            <v>503825</v>
          </cell>
          <cell r="G88">
            <v>100000</v>
          </cell>
          <cell r="H88">
            <v>100000</v>
          </cell>
          <cell r="I88">
            <v>300000</v>
          </cell>
        </row>
        <row r="89">
          <cell r="E89">
            <v>0</v>
          </cell>
          <cell r="F89">
            <v>0</v>
          </cell>
          <cell r="G89">
            <v>200000</v>
          </cell>
          <cell r="H89">
            <v>200000</v>
          </cell>
          <cell r="I89">
            <v>0</v>
          </cell>
        </row>
        <row r="90">
          <cell r="E90">
            <v>6546860.604</v>
          </cell>
          <cell r="F90">
            <v>8379759</v>
          </cell>
          <cell r="G90">
            <v>7707240.92</v>
          </cell>
          <cell r="H90">
            <v>9264380.208</v>
          </cell>
        </row>
        <row r="91">
          <cell r="E91">
            <v>3927282.606</v>
          </cell>
          <cell r="F91">
            <v>5465081</v>
          </cell>
          <cell r="G91">
            <v>5090709.92</v>
          </cell>
          <cell r="H91">
            <v>5095709.92</v>
          </cell>
          <cell r="I91">
            <v>4007311.04</v>
          </cell>
        </row>
        <row r="92">
          <cell r="E92">
            <v>2619577.998</v>
          </cell>
          <cell r="F92">
            <v>2914678</v>
          </cell>
          <cell r="G92">
            <v>2616531</v>
          </cell>
          <cell r="H92">
            <v>4168670.288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320555.6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E95">
            <v>10800000</v>
          </cell>
          <cell r="F95">
            <v>11838200</v>
          </cell>
          <cell r="G95">
            <v>8366000</v>
          </cell>
          <cell r="H95">
            <v>8366000</v>
          </cell>
          <cell r="I95">
            <v>8304640</v>
          </cell>
        </row>
        <row r="96">
          <cell r="E96">
            <v>0</v>
          </cell>
          <cell r="F96">
            <v>180000</v>
          </cell>
          <cell r="G96">
            <v>0</v>
          </cell>
          <cell r="H96">
            <v>372000</v>
          </cell>
          <cell r="I96">
            <v>0</v>
          </cell>
        </row>
        <row r="97">
          <cell r="E97">
            <v>1310000</v>
          </cell>
          <cell r="F97">
            <v>1275900</v>
          </cell>
          <cell r="G97">
            <v>665000</v>
          </cell>
          <cell r="H97">
            <v>293000</v>
          </cell>
          <cell r="I97">
            <v>724640</v>
          </cell>
        </row>
        <row r="98">
          <cell r="E98">
            <v>3800000</v>
          </cell>
          <cell r="F98">
            <v>3293300</v>
          </cell>
          <cell r="G98">
            <v>2596000</v>
          </cell>
          <cell r="H98">
            <v>2596000</v>
          </cell>
          <cell r="I98">
            <v>2410000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E100">
            <v>5690000</v>
          </cell>
          <cell r="F100">
            <v>6784000</v>
          </cell>
          <cell r="G100">
            <v>5105000</v>
          </cell>
          <cell r="H100">
            <v>5078880</v>
          </cell>
          <cell r="I100">
            <v>5170000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E104">
            <v>0</v>
          </cell>
          <cell r="F104">
            <v>305000</v>
          </cell>
          <cell r="G104">
            <v>0</v>
          </cell>
          <cell r="H104">
            <v>26120</v>
          </cell>
          <cell r="I104">
            <v>0</v>
          </cell>
        </row>
        <row r="105">
          <cell r="E105">
            <v>5300000</v>
          </cell>
          <cell r="F105">
            <v>4691440</v>
          </cell>
          <cell r="G105">
            <v>3325000</v>
          </cell>
          <cell r="H105">
            <v>4235000</v>
          </cell>
        </row>
        <row r="106">
          <cell r="E106">
            <v>0</v>
          </cell>
          <cell r="F106">
            <v>23000</v>
          </cell>
          <cell r="G106">
            <v>25000</v>
          </cell>
          <cell r="H106">
            <v>25000</v>
          </cell>
          <cell r="I106">
            <v>25000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E108">
            <v>2000000</v>
          </cell>
          <cell r="F108">
            <v>1301300</v>
          </cell>
          <cell r="G108">
            <v>0</v>
          </cell>
          <cell r="H108">
            <v>150000</v>
          </cell>
          <cell r="I108">
            <v>10000</v>
          </cell>
        </row>
        <row r="109">
          <cell r="E109">
            <v>3300000</v>
          </cell>
          <cell r="F109">
            <v>3367140</v>
          </cell>
          <cell r="G109">
            <v>3300000</v>
          </cell>
          <cell r="H109">
            <v>2810000</v>
          </cell>
          <cell r="I109">
            <v>3274054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1250000</v>
          </cell>
          <cell r="I110">
            <v>300000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2440871.248</v>
          </cell>
          <cell r="F112">
            <v>2970371</v>
          </cell>
          <cell r="G112">
            <v>2360295.54</v>
          </cell>
          <cell r="H112">
            <v>1204693.655</v>
          </cell>
          <cell r="I112">
            <v>1020694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E114">
            <v>1046871.248</v>
          </cell>
          <cell r="F114">
            <v>1501871.2480000001</v>
          </cell>
          <cell r="G114">
            <v>1400295.54</v>
          </cell>
          <cell r="H114">
            <v>94693.65500000003</v>
          </cell>
          <cell r="I114">
            <v>0</v>
          </cell>
        </row>
        <row r="115">
          <cell r="E115">
            <v>0</v>
          </cell>
          <cell r="F115">
            <v>160000</v>
          </cell>
          <cell r="G115">
            <v>0</v>
          </cell>
          <cell r="H115">
            <v>466000</v>
          </cell>
          <cell r="I115">
            <v>290694</v>
          </cell>
        </row>
        <row r="116">
          <cell r="E116">
            <v>564000</v>
          </cell>
          <cell r="F116">
            <v>762000</v>
          </cell>
          <cell r="G116">
            <v>600000</v>
          </cell>
          <cell r="H116">
            <v>184000</v>
          </cell>
          <cell r="I116">
            <v>330000</v>
          </cell>
        </row>
        <row r="117">
          <cell r="E117">
            <v>230000</v>
          </cell>
          <cell r="F117">
            <v>230000</v>
          </cell>
          <cell r="G117">
            <v>230000</v>
          </cell>
          <cell r="H117">
            <v>230000</v>
          </cell>
          <cell r="I117">
            <v>230000</v>
          </cell>
        </row>
        <row r="118">
          <cell r="E118">
            <v>0</v>
          </cell>
          <cell r="F118">
            <v>75000</v>
          </cell>
          <cell r="G118">
            <v>0</v>
          </cell>
          <cell r="H118">
            <v>0</v>
          </cell>
          <cell r="I118">
            <v>0</v>
          </cell>
        </row>
        <row r="119">
          <cell r="E119">
            <v>600000</v>
          </cell>
          <cell r="F119">
            <v>241500</v>
          </cell>
          <cell r="G119">
            <v>130000</v>
          </cell>
          <cell r="H119">
            <v>0</v>
          </cell>
          <cell r="I119">
            <v>170000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230000</v>
          </cell>
          <cell r="I120">
            <v>0</v>
          </cell>
        </row>
        <row r="121">
          <cell r="E121">
            <v>0</v>
          </cell>
          <cell r="F121">
            <v>700000</v>
          </cell>
          <cell r="G121">
            <v>0</v>
          </cell>
          <cell r="H121">
            <v>0</v>
          </cell>
          <cell r="I121">
            <v>490000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E123">
            <v>700000</v>
          </cell>
          <cell r="F123">
            <v>700000</v>
          </cell>
          <cell r="G123">
            <v>540000</v>
          </cell>
          <cell r="H123">
            <v>580000</v>
          </cell>
          <cell r="I123">
            <v>490000</v>
          </cell>
        </row>
        <row r="124">
          <cell r="E124">
            <v>360000</v>
          </cell>
          <cell r="F124">
            <v>360000</v>
          </cell>
          <cell r="G124">
            <v>300000</v>
          </cell>
          <cell r="H124">
            <v>300000</v>
          </cell>
          <cell r="I124">
            <v>300000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>
            <v>90000</v>
          </cell>
          <cell r="F127">
            <v>90000</v>
          </cell>
          <cell r="G127">
            <v>90000</v>
          </cell>
          <cell r="H127">
            <v>90000</v>
          </cell>
          <cell r="I127">
            <v>90000</v>
          </cell>
        </row>
        <row r="128">
          <cell r="E128">
            <v>50000</v>
          </cell>
          <cell r="F128">
            <v>50000</v>
          </cell>
          <cell r="G128">
            <v>50000</v>
          </cell>
          <cell r="H128">
            <v>50000</v>
          </cell>
          <cell r="I128">
            <v>50000</v>
          </cell>
        </row>
        <row r="129">
          <cell r="E129">
            <v>50000</v>
          </cell>
          <cell r="F129">
            <v>50000</v>
          </cell>
          <cell r="G129">
            <v>50000</v>
          </cell>
          <cell r="H129">
            <v>50000</v>
          </cell>
          <cell r="I129">
            <v>0</v>
          </cell>
        </row>
        <row r="130">
          <cell r="E130">
            <v>50000</v>
          </cell>
          <cell r="F130">
            <v>50000</v>
          </cell>
          <cell r="G130">
            <v>50000</v>
          </cell>
          <cell r="H130">
            <v>50000</v>
          </cell>
          <cell r="I130">
            <v>50000</v>
          </cell>
        </row>
        <row r="131">
          <cell r="E131">
            <v>100000</v>
          </cell>
          <cell r="F131">
            <v>100000</v>
          </cell>
          <cell r="G131">
            <v>0</v>
          </cell>
          <cell r="H131">
            <v>40000</v>
          </cell>
          <cell r="I131">
            <v>0</v>
          </cell>
        </row>
        <row r="132">
          <cell r="E132">
            <v>17228721.964</v>
          </cell>
          <cell r="F132">
            <v>22417559</v>
          </cell>
          <cell r="G132">
            <v>16567967.014</v>
          </cell>
          <cell r="H132">
            <v>16912988.102</v>
          </cell>
        </row>
        <row r="133">
          <cell r="E133">
            <v>7970363.186</v>
          </cell>
          <cell r="F133">
            <v>11103325</v>
          </cell>
          <cell r="G133">
            <v>7953482</v>
          </cell>
          <cell r="H133">
            <v>8448482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>
            <v>700000</v>
          </cell>
          <cell r="F136">
            <v>3877000</v>
          </cell>
          <cell r="G136">
            <v>1152000</v>
          </cell>
          <cell r="H136">
            <v>1152000</v>
          </cell>
        </row>
        <row r="137">
          <cell r="E137">
            <v>100000</v>
          </cell>
          <cell r="F137">
            <v>85000</v>
          </cell>
          <cell r="G137">
            <v>0</v>
          </cell>
          <cell r="H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E139">
            <v>100000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E140">
            <v>0</v>
          </cell>
          <cell r="F140">
            <v>85000</v>
          </cell>
          <cell r="G140">
            <v>0</v>
          </cell>
          <cell r="H140">
            <v>0</v>
          </cell>
          <cell r="I140">
            <v>0</v>
          </cell>
        </row>
        <row r="141">
          <cell r="E141">
            <v>300000</v>
          </cell>
          <cell r="F141">
            <v>450000</v>
          </cell>
          <cell r="G141">
            <v>300000</v>
          </cell>
          <cell r="H141">
            <v>300000</v>
          </cell>
          <cell r="I141">
            <v>300000</v>
          </cell>
        </row>
        <row r="142">
          <cell r="E142">
            <v>300000</v>
          </cell>
          <cell r="F142">
            <v>450000</v>
          </cell>
          <cell r="G142">
            <v>300000</v>
          </cell>
          <cell r="H142">
            <v>300000</v>
          </cell>
          <cell r="I142">
            <v>300000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E144">
            <v>150000</v>
          </cell>
          <cell r="F144">
            <v>2198980</v>
          </cell>
          <cell r="G144">
            <v>452000</v>
          </cell>
          <cell r="H144">
            <v>452000</v>
          </cell>
          <cell r="I144">
            <v>677000</v>
          </cell>
        </row>
        <row r="145">
          <cell r="E145">
            <v>150000</v>
          </cell>
          <cell r="F145">
            <v>1354022</v>
          </cell>
          <cell r="G145">
            <v>47000</v>
          </cell>
          <cell r="H145">
            <v>277700</v>
          </cell>
          <cell r="I145">
            <v>677000</v>
          </cell>
        </row>
        <row r="146">
          <cell r="E146">
            <v>0</v>
          </cell>
          <cell r="F146">
            <v>844958</v>
          </cell>
          <cell r="G146">
            <v>405000</v>
          </cell>
          <cell r="H146">
            <v>174300</v>
          </cell>
          <cell r="I146">
            <v>0</v>
          </cell>
        </row>
        <row r="147">
          <cell r="E147">
            <v>50000</v>
          </cell>
          <cell r="F147">
            <v>110115</v>
          </cell>
          <cell r="G147">
            <v>50000</v>
          </cell>
          <cell r="H147">
            <v>50000</v>
          </cell>
          <cell r="I147">
            <v>94000</v>
          </cell>
        </row>
        <row r="148">
          <cell r="E148">
            <v>50000</v>
          </cell>
          <cell r="F148">
            <v>110115</v>
          </cell>
          <cell r="G148">
            <v>50000</v>
          </cell>
          <cell r="H148">
            <v>50000</v>
          </cell>
          <cell r="I148">
            <v>94000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E150">
            <v>50000</v>
          </cell>
          <cell r="F150">
            <v>909037</v>
          </cell>
          <cell r="G150">
            <v>250000</v>
          </cell>
          <cell r="H150">
            <v>250000</v>
          </cell>
          <cell r="I150">
            <v>165000</v>
          </cell>
        </row>
        <row r="151">
          <cell r="E151">
            <v>50000</v>
          </cell>
          <cell r="F151">
            <v>183015</v>
          </cell>
          <cell r="G151">
            <v>50000</v>
          </cell>
          <cell r="H151">
            <v>50000</v>
          </cell>
          <cell r="I151">
            <v>165000</v>
          </cell>
        </row>
        <row r="152">
          <cell r="E152">
            <v>0</v>
          </cell>
          <cell r="F152">
            <v>726022</v>
          </cell>
          <cell r="G152">
            <v>200000</v>
          </cell>
          <cell r="H152">
            <v>200000</v>
          </cell>
          <cell r="I152">
            <v>0</v>
          </cell>
        </row>
        <row r="153">
          <cell r="E153">
            <v>50000</v>
          </cell>
          <cell r="F153">
            <v>123868</v>
          </cell>
          <cell r="G153">
            <v>100000</v>
          </cell>
          <cell r="H153">
            <v>100000</v>
          </cell>
          <cell r="I153">
            <v>134000</v>
          </cell>
        </row>
        <row r="154">
          <cell r="E154">
            <v>50000</v>
          </cell>
          <cell r="F154">
            <v>88868</v>
          </cell>
          <cell r="G154">
            <v>100000</v>
          </cell>
          <cell r="H154">
            <v>100000</v>
          </cell>
          <cell r="I154">
            <v>134000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E156">
            <v>3770363.1859999998</v>
          </cell>
          <cell r="F156">
            <v>3884827.1859999998</v>
          </cell>
          <cell r="G156">
            <v>3593482</v>
          </cell>
          <cell r="H156">
            <v>4077482</v>
          </cell>
          <cell r="I156">
            <v>3308036.56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E158">
            <v>300000</v>
          </cell>
          <cell r="F158">
            <v>300000</v>
          </cell>
          <cell r="G158">
            <v>360000</v>
          </cell>
          <cell r="H158">
            <v>371000</v>
          </cell>
          <cell r="I158">
            <v>378000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E160">
            <v>3200000</v>
          </cell>
          <cell r="F160">
            <v>3041498</v>
          </cell>
          <cell r="G160">
            <v>2848000</v>
          </cell>
          <cell r="H160">
            <v>2848000</v>
          </cell>
          <cell r="I160">
            <v>2348000</v>
          </cell>
        </row>
        <row r="161">
          <cell r="E161">
            <v>7958358.778</v>
          </cell>
          <cell r="F161">
            <v>9832208</v>
          </cell>
          <cell r="G161">
            <v>7464485.014</v>
          </cell>
          <cell r="H161">
            <v>7285063.102</v>
          </cell>
          <cell r="I161">
            <v>5965700.800000001</v>
          </cell>
        </row>
        <row r="162">
          <cell r="E162">
            <v>1906214.942</v>
          </cell>
          <cell r="F162">
            <v>2180056.942</v>
          </cell>
          <cell r="G162">
            <v>1938128.424</v>
          </cell>
          <cell r="H162">
            <v>1938128.424</v>
          </cell>
          <cell r="I162">
            <v>1603545.6</v>
          </cell>
        </row>
        <row r="163">
          <cell r="E163">
            <v>3052142.836</v>
          </cell>
          <cell r="F163">
            <v>3575253.836</v>
          </cell>
          <cell r="G163">
            <v>2726356.59</v>
          </cell>
          <cell r="H163">
            <v>2546933.678</v>
          </cell>
          <cell r="I163">
            <v>2362155.2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E171">
            <v>3000000</v>
          </cell>
          <cell r="F171">
            <v>4076097</v>
          </cell>
          <cell r="G171">
            <v>2800000</v>
          </cell>
          <cell r="H171">
            <v>2800000</v>
          </cell>
          <cell r="I171">
            <v>2000000</v>
          </cell>
        </row>
        <row r="172">
          <cell r="E172">
            <v>1300000</v>
          </cell>
          <cell r="F172">
            <v>1482026</v>
          </cell>
          <cell r="G172">
            <v>1150000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E174">
            <v>1300000</v>
          </cell>
          <cell r="F174">
            <v>1482026</v>
          </cell>
          <cell r="G174">
            <v>1150000</v>
          </cell>
          <cell r="H174">
            <v>1179444</v>
          </cell>
          <cell r="I174">
            <v>466910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E178">
            <v>54237715.155</v>
          </cell>
          <cell r="F178">
            <v>90141130</v>
          </cell>
          <cell r="G178">
            <v>48868675.160000004</v>
          </cell>
          <cell r="H178">
            <v>80173660.59200001</v>
          </cell>
        </row>
        <row r="179">
          <cell r="E179">
            <v>30323882.334</v>
          </cell>
          <cell r="F179">
            <v>32022626</v>
          </cell>
          <cell r="G179">
            <v>27377839.48</v>
          </cell>
          <cell r="H179">
            <v>28454330.256</v>
          </cell>
          <cell r="I179">
            <v>26491968.936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E181">
            <v>8667777.928</v>
          </cell>
          <cell r="F181">
            <v>9079985</v>
          </cell>
          <cell r="G181">
            <v>7789512</v>
          </cell>
          <cell r="H181">
            <v>7946179.016</v>
          </cell>
          <cell r="I181">
            <v>7542979.008</v>
          </cell>
        </row>
        <row r="182">
          <cell r="E182">
            <v>13476176.662999999</v>
          </cell>
          <cell r="F182">
            <v>14460940</v>
          </cell>
          <cell r="G182">
            <v>12303053.48</v>
          </cell>
          <cell r="H182">
            <v>13058797.24</v>
          </cell>
          <cell r="I182">
            <v>12330261.48</v>
          </cell>
        </row>
        <row r="183">
          <cell r="E183">
            <v>6479927.743000001</v>
          </cell>
          <cell r="F183">
            <v>6700702</v>
          </cell>
          <cell r="G183">
            <v>6024274</v>
          </cell>
          <cell r="H183">
            <v>6188354</v>
          </cell>
          <cell r="I183">
            <v>5857728.448</v>
          </cell>
        </row>
        <row r="184">
          <cell r="E184">
            <v>200000</v>
          </cell>
          <cell r="F184">
            <v>281000</v>
          </cell>
          <cell r="G184">
            <v>261000</v>
          </cell>
          <cell r="H184">
            <v>261000</v>
          </cell>
          <cell r="I184">
            <v>261000</v>
          </cell>
        </row>
        <row r="185">
          <cell r="E185">
            <v>1500000</v>
          </cell>
          <cell r="F185">
            <v>1500000</v>
          </cell>
          <cell r="G185">
            <v>1000000</v>
          </cell>
          <cell r="H185">
            <v>1000000</v>
          </cell>
          <cell r="I185">
            <v>500000</v>
          </cell>
        </row>
        <row r="186">
          <cell r="E186">
            <v>23542581.990000002</v>
          </cell>
          <cell r="F186">
            <v>57751255</v>
          </cell>
          <cell r="G186">
            <v>21143116</v>
          </cell>
          <cell r="H186">
            <v>51371610.656</v>
          </cell>
          <cell r="I186">
            <v>19784442.448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E188">
            <v>5629874.174000001</v>
          </cell>
          <cell r="F188">
            <v>14284913.3</v>
          </cell>
          <cell r="G188">
            <v>5084674</v>
          </cell>
          <cell r="H188">
            <v>13848080.224</v>
          </cell>
          <cell r="I188">
            <v>4382086.12</v>
          </cell>
        </row>
        <row r="189">
          <cell r="E189">
            <v>4384875.78</v>
          </cell>
          <cell r="F189">
            <v>9614673</v>
          </cell>
          <cell r="G189">
            <v>4121114</v>
          </cell>
          <cell r="H189">
            <v>8580759.688000001</v>
          </cell>
          <cell r="I189">
            <v>3929574.64</v>
          </cell>
        </row>
        <row r="190">
          <cell r="E190">
            <v>8327832.036</v>
          </cell>
          <cell r="F190">
            <v>26322654</v>
          </cell>
          <cell r="G190">
            <v>7554770</v>
          </cell>
          <cell r="H190">
            <v>23298064.744</v>
          </cell>
          <cell r="I190">
            <v>7158278.688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E192">
            <v>700000</v>
          </cell>
          <cell r="F192">
            <v>3029015</v>
          </cell>
          <cell r="G192">
            <v>882558</v>
          </cell>
          <cell r="H192">
            <v>2144706</v>
          </cell>
          <cell r="I192">
            <v>814503</v>
          </cell>
        </row>
        <row r="193">
          <cell r="E193">
            <v>226396</v>
          </cell>
          <cell r="F193">
            <v>955715</v>
          </cell>
          <cell r="G193">
            <v>344446</v>
          </cell>
          <cell r="H193">
            <v>744439</v>
          </cell>
          <cell r="I193">
            <v>270505</v>
          </cell>
        </row>
        <row r="194">
          <cell r="E194">
            <v>110991</v>
          </cell>
          <cell r="F194">
            <v>480043</v>
          </cell>
          <cell r="G194">
            <v>130229</v>
          </cell>
          <cell r="H194">
            <v>328466</v>
          </cell>
          <cell r="I194">
            <v>129274</v>
          </cell>
        </row>
        <row r="195">
          <cell r="E195">
            <v>362613</v>
          </cell>
          <cell r="F195">
            <v>1593257</v>
          </cell>
          <cell r="G195">
            <v>407883</v>
          </cell>
          <cell r="H195">
            <v>1071801</v>
          </cell>
          <cell r="I195">
            <v>414724</v>
          </cell>
        </row>
        <row r="196">
          <cell r="E196">
            <v>4500000</v>
          </cell>
          <cell r="F196">
            <v>4500000</v>
          </cell>
          <cell r="G196">
            <v>3500000</v>
          </cell>
          <cell r="H196">
            <v>3500000</v>
          </cell>
          <cell r="I196">
            <v>3500000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E205">
            <v>371250.831</v>
          </cell>
          <cell r="F205">
            <v>367249.831</v>
          </cell>
          <cell r="G205">
            <v>347719.68</v>
          </cell>
          <cell r="H205">
            <v>347719.68</v>
          </cell>
          <cell r="I205">
            <v>284304.384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E207">
            <v>371249.831</v>
          </cell>
          <cell r="F207">
            <v>367249.831</v>
          </cell>
          <cell r="G207">
            <v>347719.68</v>
          </cell>
          <cell r="H207">
            <v>347719.68</v>
          </cell>
          <cell r="I207">
            <v>284304.384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E210">
            <v>17549443.191</v>
          </cell>
          <cell r="F210">
            <v>26964012</v>
          </cell>
          <cell r="G210">
            <v>16413309.48</v>
          </cell>
          <cell r="H210">
            <v>23680723.096</v>
          </cell>
        </row>
        <row r="211">
          <cell r="E211">
            <v>1110000</v>
          </cell>
          <cell r="F211">
            <v>1345650</v>
          </cell>
          <cell r="G211">
            <v>700000</v>
          </cell>
          <cell r="H211">
            <v>1727248</v>
          </cell>
          <cell r="I211">
            <v>1300000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E213">
            <v>1110000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E214">
            <v>0</v>
          </cell>
          <cell r="F214">
            <v>1345650</v>
          </cell>
          <cell r="G214">
            <v>700000</v>
          </cell>
          <cell r="H214">
            <v>1727248</v>
          </cell>
          <cell r="I214">
            <v>1300000</v>
          </cell>
        </row>
        <row r="215">
          <cell r="E215">
            <v>1600000</v>
          </cell>
          <cell r="F215">
            <v>2100000</v>
          </cell>
          <cell r="G215">
            <v>1300000</v>
          </cell>
          <cell r="H215">
            <v>900000</v>
          </cell>
          <cell r="I215">
            <v>250000</v>
          </cell>
        </row>
        <row r="216">
          <cell r="E216">
            <v>1600000</v>
          </cell>
          <cell r="F216">
            <v>2100000</v>
          </cell>
          <cell r="G216">
            <v>1300000</v>
          </cell>
          <cell r="H216">
            <v>900000</v>
          </cell>
          <cell r="I216">
            <v>250000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E219">
            <v>1562000</v>
          </cell>
          <cell r="F219">
            <v>2010935</v>
          </cell>
          <cell r="G219">
            <v>1562000</v>
          </cell>
          <cell r="H219">
            <v>1932051</v>
          </cell>
          <cell r="I219">
            <v>1162000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E221">
            <v>62000</v>
          </cell>
          <cell r="F221">
            <v>62000</v>
          </cell>
          <cell r="G221">
            <v>62000</v>
          </cell>
          <cell r="H221">
            <v>62000</v>
          </cell>
          <cell r="I221">
            <v>62000</v>
          </cell>
        </row>
        <row r="222">
          <cell r="E222">
            <v>1500000</v>
          </cell>
          <cell r="F222">
            <v>1948935</v>
          </cell>
          <cell r="G222">
            <v>1500000</v>
          </cell>
          <cell r="H222">
            <v>1870051</v>
          </cell>
          <cell r="I222">
            <v>1100000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E225">
            <v>11108279.028</v>
          </cell>
          <cell r="F225">
            <v>19272238</v>
          </cell>
          <cell r="G225">
            <v>10768008.48</v>
          </cell>
          <cell r="H225">
            <v>16899872.096</v>
          </cell>
        </row>
        <row r="226">
          <cell r="E226">
            <v>4380279.028</v>
          </cell>
          <cell r="F226">
            <v>5160679.608</v>
          </cell>
          <cell r="G226">
            <v>4814447.48</v>
          </cell>
          <cell r="H226">
            <v>5066311.096</v>
          </cell>
          <cell r="I226">
            <v>4821570.08</v>
          </cell>
        </row>
        <row r="227">
          <cell r="E227">
            <v>3380279.028</v>
          </cell>
          <cell r="F227">
            <v>3793079.608</v>
          </cell>
          <cell r="G227">
            <v>3514447.48</v>
          </cell>
          <cell r="H227">
            <v>3766311.096</v>
          </cell>
          <cell r="I227">
            <v>3521570.08</v>
          </cell>
        </row>
        <row r="228">
          <cell r="E228">
            <v>1000000</v>
          </cell>
          <cell r="F228">
            <v>1367600</v>
          </cell>
          <cell r="G228">
            <v>1300000</v>
          </cell>
          <cell r="H228">
            <v>1300000</v>
          </cell>
          <cell r="I228">
            <v>1300000</v>
          </cell>
        </row>
        <row r="229">
          <cell r="E229">
            <v>0</v>
          </cell>
          <cell r="F229">
            <v>5337158</v>
          </cell>
          <cell r="G229">
            <v>0</v>
          </cell>
          <cell r="H229">
            <v>5830000</v>
          </cell>
          <cell r="I229">
            <v>0</v>
          </cell>
        </row>
        <row r="230">
          <cell r="E230">
            <v>0</v>
          </cell>
          <cell r="F230">
            <v>5160158</v>
          </cell>
          <cell r="G230">
            <v>0</v>
          </cell>
          <cell r="H230">
            <v>5470000</v>
          </cell>
          <cell r="I230">
            <v>0</v>
          </cell>
        </row>
        <row r="231">
          <cell r="E231">
            <v>0</v>
          </cell>
          <cell r="F231">
            <v>177000</v>
          </cell>
          <cell r="G231">
            <v>0</v>
          </cell>
          <cell r="H231">
            <v>360000</v>
          </cell>
          <cell r="I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E233">
            <v>6728000</v>
          </cell>
          <cell r="F233">
            <v>8774400</v>
          </cell>
          <cell r="G233">
            <v>5953561</v>
          </cell>
          <cell r="H233">
            <v>6003561</v>
          </cell>
          <cell r="I233">
            <v>6764000</v>
          </cell>
        </row>
        <row r="234">
          <cell r="E234">
            <v>144000</v>
          </cell>
          <cell r="F234">
            <v>144000</v>
          </cell>
          <cell r="G234">
            <v>144000</v>
          </cell>
          <cell r="H234">
            <v>144000</v>
          </cell>
          <cell r="I234">
            <v>144000</v>
          </cell>
        </row>
        <row r="235">
          <cell r="E235">
            <v>100000</v>
          </cell>
          <cell r="F235">
            <v>100000</v>
          </cell>
          <cell r="G235">
            <v>50000</v>
          </cell>
          <cell r="H235">
            <v>50000</v>
          </cell>
          <cell r="I235">
            <v>50000</v>
          </cell>
        </row>
        <row r="236">
          <cell r="E236">
            <v>4764000</v>
          </cell>
          <cell r="F236">
            <v>6760400</v>
          </cell>
          <cell r="G236">
            <v>4089561</v>
          </cell>
          <cell r="H236">
            <v>4139561</v>
          </cell>
        </row>
        <row r="237">
          <cell r="E237">
            <v>200000</v>
          </cell>
          <cell r="F237">
            <v>250000</v>
          </cell>
          <cell r="G237">
            <v>250000</v>
          </cell>
          <cell r="H237">
            <v>250000</v>
          </cell>
          <cell r="I237">
            <v>200000</v>
          </cell>
        </row>
        <row r="238">
          <cell r="E238">
            <v>140000</v>
          </cell>
          <cell r="F238">
            <v>140000</v>
          </cell>
          <cell r="G238">
            <v>100000</v>
          </cell>
          <cell r="H238">
            <v>100000</v>
          </cell>
          <cell r="I238">
            <v>50000</v>
          </cell>
        </row>
        <row r="239">
          <cell r="E239">
            <v>114000</v>
          </cell>
          <cell r="F239">
            <v>114000</v>
          </cell>
          <cell r="G239">
            <v>180000</v>
          </cell>
          <cell r="H239">
            <v>180000</v>
          </cell>
          <cell r="I239">
            <v>180000</v>
          </cell>
        </row>
        <row r="240">
          <cell r="E240">
            <v>1266000</v>
          </cell>
          <cell r="F240">
            <v>1266000</v>
          </cell>
          <cell r="G240">
            <v>1140000</v>
          </cell>
          <cell r="H240">
            <v>1140000</v>
          </cell>
          <cell r="I240">
            <v>1140000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E242">
            <v>2169164.1629999997</v>
          </cell>
          <cell r="F242">
            <v>2229459.1629999997</v>
          </cell>
          <cell r="G242">
            <v>2083301</v>
          </cell>
          <cell r="H242">
            <v>2221552</v>
          </cell>
          <cell r="I242">
            <v>1745859.8824</v>
          </cell>
        </row>
        <row r="243">
          <cell r="E243">
            <v>2169164.1629999997</v>
          </cell>
          <cell r="F243">
            <v>2229459.1629999997</v>
          </cell>
          <cell r="G243">
            <v>2083301</v>
          </cell>
          <cell r="H243">
            <v>2221552</v>
          </cell>
          <cell r="I243">
            <v>1745859.8824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E246">
            <v>9780932</v>
          </cell>
          <cell r="F246">
            <v>9800332</v>
          </cell>
          <cell r="G246">
            <v>9206840</v>
          </cell>
          <cell r="H246">
            <v>9763931</v>
          </cell>
          <cell r="I246">
            <v>9763931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E290">
            <v>9780932</v>
          </cell>
          <cell r="F290">
            <v>9800332</v>
          </cell>
          <cell r="G290">
            <v>9206840</v>
          </cell>
          <cell r="H290">
            <v>9763931</v>
          </cell>
          <cell r="I290">
            <v>9763931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E295">
            <v>9780932</v>
          </cell>
          <cell r="F295">
            <v>9800332</v>
          </cell>
          <cell r="G295">
            <v>9206840</v>
          </cell>
          <cell r="H295">
            <v>9763931</v>
          </cell>
          <cell r="I295">
            <v>9763931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E297">
            <v>9780932</v>
          </cell>
          <cell r="F297">
            <v>9800332</v>
          </cell>
          <cell r="G297">
            <v>9206840</v>
          </cell>
          <cell r="H297">
            <v>9763931</v>
          </cell>
          <cell r="I297">
            <v>9763931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E302">
            <v>163569600.069</v>
          </cell>
          <cell r="F302">
            <v>218143475</v>
          </cell>
          <cell r="G302">
            <v>151220980.514</v>
          </cell>
          <cell r="H302">
            <v>196492812.37300003</v>
          </cell>
        </row>
        <row r="303">
          <cell r="E303">
            <v>152049600.069</v>
          </cell>
          <cell r="F303">
            <v>165437639</v>
          </cell>
          <cell r="G303">
            <v>139441046.514</v>
          </cell>
          <cell r="H303">
            <v>144037183.514</v>
          </cell>
        </row>
        <row r="304">
          <cell r="E304">
            <v>0</v>
          </cell>
          <cell r="F304">
            <v>41463167</v>
          </cell>
          <cell r="G304">
            <v>0</v>
          </cell>
          <cell r="H304">
            <v>40685297</v>
          </cell>
          <cell r="I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E306">
            <v>11520000</v>
          </cell>
          <cell r="F306">
            <v>10609347</v>
          </cell>
          <cell r="G306">
            <v>11779934</v>
          </cell>
          <cell r="H306">
            <v>11116501</v>
          </cell>
        </row>
        <row r="307"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E309">
            <v>0</v>
          </cell>
          <cell r="F309">
            <v>663322</v>
          </cell>
          <cell r="G309">
            <v>0</v>
          </cell>
          <cell r="H309">
            <v>653830</v>
          </cell>
          <cell r="I309">
            <v>0</v>
          </cell>
        </row>
        <row r="310">
          <cell r="E310">
            <v>163569600.069</v>
          </cell>
          <cell r="F310">
            <v>218173475</v>
          </cell>
          <cell r="G310">
            <v>151220980.514</v>
          </cell>
          <cell r="H310">
            <v>196492811.514</v>
          </cell>
        </row>
        <row r="311">
          <cell r="G311">
            <v>0</v>
          </cell>
          <cell r="H311">
            <v>0</v>
          </cell>
          <cell r="I311">
            <v>0</v>
          </cell>
        </row>
        <row r="312">
          <cell r="G312">
            <v>164720500</v>
          </cell>
          <cell r="H312">
            <v>164720500</v>
          </cell>
          <cell r="I312">
            <v>51856660</v>
          </cell>
        </row>
        <row r="313">
          <cell r="G313">
            <v>13499519.486000001</v>
          </cell>
          <cell r="H313">
            <v>-31772312.373000026</v>
          </cell>
          <cell r="I313">
            <v>-92419973.8664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õhimõtted"/>
      <sheetName val="Kool arv.tab"/>
      <sheetName val="Last.arv.tab"/>
      <sheetName val="2001 tulud"/>
      <sheetName val="Sheet7"/>
      <sheetName val="Sheet6"/>
      <sheetName val="Sheet5"/>
      <sheetName val="Sheet3"/>
    </sheetNames>
    <sheetDataSet>
      <sheetData sheetId="3">
        <row r="135">
          <cell r="C135" t="str">
            <v>Tulumaks</v>
          </cell>
          <cell r="E135">
            <v>56.44142973968006</v>
          </cell>
          <cell r="G135">
            <v>46.39964450674686</v>
          </cell>
          <cell r="I135">
            <v>76.12142890338667</v>
          </cell>
        </row>
        <row r="136">
          <cell r="C136" t="str">
            <v>Maamaks</v>
          </cell>
          <cell r="E136">
            <v>7.194356304948422</v>
          </cell>
          <cell r="G136">
            <v>6.081413382053922</v>
          </cell>
          <cell r="I136">
            <v>8.493548909219987</v>
          </cell>
        </row>
        <row r="137">
          <cell r="C137" t="str">
            <v>Teised maksud</v>
          </cell>
          <cell r="E137">
            <v>1.1992671968511162</v>
          </cell>
          <cell r="G137">
            <v>0.9940031683009021</v>
          </cell>
          <cell r="I137">
            <v>1.6682612102826426</v>
          </cell>
        </row>
        <row r="138">
          <cell r="C138" t="str">
            <v>Riihilõiv</v>
          </cell>
          <cell r="E138">
            <v>0.015281513001357718</v>
          </cell>
          <cell r="G138">
            <v>0.009622489528566333</v>
          </cell>
          <cell r="I138">
            <v>0.016025563979660356</v>
          </cell>
        </row>
        <row r="139">
          <cell r="C139" t="str">
            <v>Segatulud</v>
          </cell>
          <cell r="E139">
            <v>0.5484957921635872</v>
          </cell>
          <cell r="G139">
            <v>0.29675757706098566</v>
          </cell>
          <cell r="I139">
            <v>0.44871579143048995</v>
          </cell>
        </row>
        <row r="140">
          <cell r="C140" t="str">
            <v>Tulud varadelt</v>
          </cell>
          <cell r="E140">
            <v>5.303577150038726</v>
          </cell>
          <cell r="G140">
            <v>24.247711363034302</v>
          </cell>
          <cell r="I140">
            <v>6.4903534117624435</v>
          </cell>
        </row>
        <row r="141">
          <cell r="C141" t="str">
            <v>Finantstulud</v>
          </cell>
          <cell r="E141">
            <v>0.0058531702461675035</v>
          </cell>
          <cell r="G141">
            <v>0.002405622382141583</v>
          </cell>
          <cell r="I141">
            <v>0</v>
          </cell>
        </row>
        <row r="142">
          <cell r="C142" t="str">
            <v>Tulud majandustegevusest</v>
          </cell>
          <cell r="E142">
            <v>2.6976086265404975</v>
          </cell>
          <cell r="G142">
            <v>2.8892871958054416</v>
          </cell>
          <cell r="I142">
            <v>5.817279724616709</v>
          </cell>
        </row>
        <row r="143">
          <cell r="C143" t="str">
            <v>Arveldused ja ülekanded</v>
          </cell>
          <cell r="E143">
            <v>0</v>
          </cell>
          <cell r="G143">
            <v>0.182057501880475</v>
          </cell>
          <cell r="I143">
            <v>0</v>
          </cell>
        </row>
        <row r="144">
          <cell r="C144" t="str">
            <v>Eraldised riigieelarvest</v>
          </cell>
          <cell r="E144">
            <v>17.91082272886339</v>
          </cell>
          <cell r="G144">
            <v>7.344456546328774</v>
          </cell>
          <cell r="I144">
            <v>0</v>
          </cell>
        </row>
        <row r="145">
          <cell r="C145" t="str">
            <v>Laenud</v>
          </cell>
          <cell r="E145">
            <v>8.650216584506529</v>
          </cell>
          <cell r="G145">
            <v>11.51148044791919</v>
          </cell>
          <cell r="I145">
            <v>0.9043225753722338</v>
          </cell>
        </row>
        <row r="146">
          <cell r="C146" t="str">
            <v>Kassatagavara</v>
          </cell>
          <cell r="E146">
            <v>0.033091193160150974</v>
          </cell>
          <cell r="G146">
            <v>0.04116019895844249</v>
          </cell>
          <cell r="I146">
            <v>0.040063909949150885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 tulud "/>
      <sheetName val=" summary "/>
      <sheetName val="volikogu"/>
      <sheetName val="linnavalitsus"/>
      <sheetName val="arhiiv"/>
      <sheetName val="turvateenistus"/>
      <sheetName val="majandusosakond"/>
      <sheetName val="buroo"/>
      <sheetName val="kunstidekool"/>
      <sheetName val="vabaaeg"/>
      <sheetName val="raamatukogu"/>
      <sheetName val="rahvamaja"/>
      <sheetName val="Linnakultuur"/>
      <sheetName val="TV ja ajaleht"/>
      <sheetName val="LPK_Room"/>
      <sheetName val="LPK_Rukkilill"/>
      <sheetName val="LPK_Sipsik"/>
      <sheetName val="Pohikool"/>
      <sheetName val="Keskkool"/>
      <sheetName val="Gumnaasium"/>
      <sheetName val="hariduse peaspets."/>
      <sheetName val="sotsmaja"/>
      <sheetName val="sotsabiosakond"/>
      <sheetName val="kontrollarv"/>
      <sheetName val="Sheet3"/>
      <sheetName val="register_arhitektuur"/>
      <sheetName val=" IT eelarve"/>
      <sheetName val="asjaajamis"/>
      <sheetName val="politsei"/>
      <sheetName val="Sheet1"/>
      <sheetName val=" Infokeskus"/>
      <sheetName val="Infokeskus"/>
      <sheetName val="2012  TVL"/>
      <sheetName val="2012 a KVL"/>
    </sheetNames>
    <sheetDataSet>
      <sheetData sheetId="0">
        <row r="206">
          <cell r="S206">
            <v>14536957.723165644</v>
          </cell>
        </row>
      </sheetData>
      <sheetData sheetId="2">
        <row r="231">
          <cell r="L231">
            <v>1629.6</v>
          </cell>
          <cell r="P231">
            <v>1070</v>
          </cell>
          <cell r="Q231">
            <v>126824.56005521967</v>
          </cell>
          <cell r="T231">
            <v>0</v>
          </cell>
          <cell r="U231">
            <v>125702.66788695309</v>
          </cell>
        </row>
      </sheetData>
      <sheetData sheetId="3">
        <row r="201">
          <cell r="J201">
            <v>850236.584472026</v>
          </cell>
          <cell r="M201">
            <v>13440</v>
          </cell>
          <cell r="N201">
            <v>863675.5844720259</v>
          </cell>
          <cell r="Q201">
            <v>32956</v>
          </cell>
          <cell r="U201">
            <v>0</v>
          </cell>
          <cell r="V201">
            <v>862647.3324939604</v>
          </cell>
        </row>
      </sheetData>
      <sheetData sheetId="4">
        <row r="227">
          <cell r="N227">
            <v>288.96000000000004</v>
          </cell>
          <cell r="O227">
            <v>23299.607680646277</v>
          </cell>
          <cell r="R227">
            <v>256.36</v>
          </cell>
          <cell r="V227">
            <v>0</v>
          </cell>
          <cell r="W227">
            <v>17968.17666457889</v>
          </cell>
        </row>
      </sheetData>
      <sheetData sheetId="5">
        <row r="221">
          <cell r="P221">
            <v>0</v>
          </cell>
        </row>
        <row r="228">
          <cell r="L228">
            <v>0</v>
          </cell>
          <cell r="M228">
            <v>13077.729346950775</v>
          </cell>
          <cell r="T228">
            <v>0</v>
          </cell>
          <cell r="U228">
            <v>13077.729346950775</v>
          </cell>
        </row>
      </sheetData>
      <sheetData sheetId="6">
        <row r="229">
          <cell r="L229">
            <v>15049.57</v>
          </cell>
          <cell r="P229">
            <v>17968.528</v>
          </cell>
          <cell r="T229">
            <v>0</v>
          </cell>
          <cell r="U229">
            <v>285646.48111231835</v>
          </cell>
        </row>
      </sheetData>
      <sheetData sheetId="7">
        <row r="228">
          <cell r="K228">
            <v>240311.82748967828</v>
          </cell>
          <cell r="N228">
            <v>4363.448</v>
          </cell>
          <cell r="R228">
            <v>3766.272</v>
          </cell>
          <cell r="W228">
            <v>0</v>
          </cell>
          <cell r="X228">
            <v>-1933</v>
          </cell>
        </row>
        <row r="442">
          <cell r="K442">
            <v>34070.63515396316</v>
          </cell>
          <cell r="N442">
            <v>13049.152</v>
          </cell>
          <cell r="R442">
            <v>0</v>
          </cell>
        </row>
      </sheetData>
      <sheetData sheetId="8">
        <row r="233">
          <cell r="P233">
            <v>5800.104</v>
          </cell>
          <cell r="U233">
            <v>5799.808</v>
          </cell>
          <cell r="V233">
            <v>223021.9819704728</v>
          </cell>
          <cell r="X233">
            <v>5799.808</v>
          </cell>
          <cell r="Y233">
            <v>0</v>
          </cell>
        </row>
      </sheetData>
      <sheetData sheetId="9">
        <row r="232">
          <cell r="K232">
            <v>0</v>
          </cell>
          <cell r="L232">
            <v>150064.55076502243</v>
          </cell>
          <cell r="O232">
            <v>0</v>
          </cell>
          <cell r="P232">
            <v>150064.55076502243</v>
          </cell>
          <cell r="S232">
            <v>0</v>
          </cell>
          <cell r="T232">
            <v>0</v>
          </cell>
        </row>
      </sheetData>
      <sheetData sheetId="10">
        <row r="228">
          <cell r="L228">
            <v>17405.968</v>
          </cell>
          <cell r="M228">
            <v>119891.2108003528</v>
          </cell>
          <cell r="T228">
            <v>2600</v>
          </cell>
          <cell r="U228">
            <v>122491.2108003528</v>
          </cell>
          <cell r="X228">
            <v>0</v>
          </cell>
          <cell r="Y228">
            <v>37155.538736850176</v>
          </cell>
        </row>
      </sheetData>
      <sheetData sheetId="11">
        <row r="229">
          <cell r="Y229">
            <v>2286.1440000000002</v>
          </cell>
          <cell r="AG229">
            <v>3723.52</v>
          </cell>
          <cell r="AH229">
            <v>156978.89693239424</v>
          </cell>
          <cell r="AN229">
            <v>0</v>
          </cell>
          <cell r="AO229">
            <v>62018.11592294811</v>
          </cell>
        </row>
      </sheetData>
      <sheetData sheetId="12">
        <row r="228">
          <cell r="L228">
            <v>22177</v>
          </cell>
          <cell r="M228">
            <v>150000.29707412474</v>
          </cell>
          <cell r="P228">
            <v>50000</v>
          </cell>
          <cell r="Q228">
            <v>200000.29707412474</v>
          </cell>
          <cell r="S228">
            <v>0</v>
          </cell>
          <cell r="T228">
            <v>81347</v>
          </cell>
        </row>
      </sheetData>
      <sheetData sheetId="13">
        <row r="228">
          <cell r="Q228">
            <v>26100</v>
          </cell>
          <cell r="U228">
            <v>0</v>
          </cell>
          <cell r="V228">
            <v>103060.80053706237</v>
          </cell>
        </row>
      </sheetData>
      <sheetData sheetId="14">
        <row r="229">
          <cell r="N229">
            <v>26005.689599999998</v>
          </cell>
          <cell r="S229">
            <v>52041.112</v>
          </cell>
          <cell r="T229">
            <v>560131.0248817354</v>
          </cell>
          <cell r="X229">
            <v>0</v>
          </cell>
          <cell r="Y229">
            <v>556587.9959780509</v>
          </cell>
        </row>
      </sheetData>
      <sheetData sheetId="15">
        <row r="286">
          <cell r="N286">
            <v>30831.032</v>
          </cell>
          <cell r="S286">
            <v>45959.192</v>
          </cell>
          <cell r="T286">
            <v>864837.522710263</v>
          </cell>
          <cell r="X286">
            <v>0</v>
          </cell>
          <cell r="Y286">
            <v>860367.8211324506</v>
          </cell>
        </row>
      </sheetData>
      <sheetData sheetId="16">
        <row r="228">
          <cell r="P228">
            <v>19578.752</v>
          </cell>
          <cell r="U228">
            <v>18551.152000000002</v>
          </cell>
          <cell r="V228">
            <v>412506.9857941278</v>
          </cell>
          <cell r="Z228">
            <v>0</v>
          </cell>
          <cell r="AA228">
            <v>343995.0961056076</v>
          </cell>
        </row>
      </sheetData>
      <sheetData sheetId="17">
        <row r="228">
          <cell r="N228">
            <v>563082.36</v>
          </cell>
          <cell r="O228">
            <v>843148.7079605793</v>
          </cell>
          <cell r="S228">
            <v>5219</v>
          </cell>
          <cell r="X228">
            <v>0</v>
          </cell>
          <cell r="Y228">
            <v>333259.23206166195</v>
          </cell>
        </row>
      </sheetData>
      <sheetData sheetId="18">
        <row r="228">
          <cell r="X228">
            <v>0</v>
          </cell>
          <cell r="Y228">
            <v>523585.0880496721</v>
          </cell>
        </row>
        <row r="285">
          <cell r="O285">
            <v>287573.69</v>
          </cell>
          <cell r="P285">
            <v>538719.2832918332</v>
          </cell>
          <cell r="T285">
            <v>8514.52</v>
          </cell>
        </row>
      </sheetData>
      <sheetData sheetId="19">
        <row r="288">
          <cell r="S288">
            <v>1072965.6639999999</v>
          </cell>
          <cell r="X288">
            <v>25174.775999999998</v>
          </cell>
          <cell r="AC288">
            <v>0</v>
          </cell>
          <cell r="AD288">
            <v>1547181.3777088954</v>
          </cell>
        </row>
      </sheetData>
      <sheetData sheetId="20">
        <row r="228">
          <cell r="M228">
            <v>0</v>
          </cell>
          <cell r="Q228">
            <v>201.6</v>
          </cell>
          <cell r="R228">
            <v>18371.96186775402</v>
          </cell>
          <cell r="U228">
            <v>0</v>
          </cell>
          <cell r="V228">
            <v>18221.596108419722</v>
          </cell>
        </row>
      </sheetData>
      <sheetData sheetId="21">
        <row r="228">
          <cell r="M228">
            <v>4115.304</v>
          </cell>
          <cell r="R228">
            <v>6875</v>
          </cell>
          <cell r="W228">
            <v>0</v>
          </cell>
          <cell r="X228">
            <v>235053.611859829</v>
          </cell>
        </row>
      </sheetData>
      <sheetData sheetId="22">
        <row r="228">
          <cell r="M228">
            <v>11152.42</v>
          </cell>
          <cell r="Q228">
            <v>7930.24</v>
          </cell>
          <cell r="U228">
            <v>0</v>
          </cell>
          <cell r="V228">
            <v>129243.00999309754</v>
          </cell>
        </row>
      </sheetData>
      <sheetData sheetId="25">
        <row r="228">
          <cell r="J228">
            <v>0</v>
          </cell>
          <cell r="K228">
            <v>0</v>
          </cell>
          <cell r="N228">
            <v>0</v>
          </cell>
          <cell r="R228">
            <v>0</v>
          </cell>
          <cell r="S228">
            <v>0</v>
          </cell>
        </row>
      </sheetData>
      <sheetData sheetId="27">
        <row r="228">
          <cell r="L228">
            <v>0</v>
          </cell>
          <cell r="P228">
            <v>0</v>
          </cell>
        </row>
      </sheetData>
      <sheetData sheetId="28">
        <row r="228"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5" sqref="C5"/>
    </sheetView>
  </sheetViews>
  <sheetFormatPr defaultColWidth="8.8515625" defaultRowHeight="15"/>
  <cols>
    <col min="1" max="1" width="8.8515625" style="172" customWidth="1"/>
    <col min="2" max="2" width="40.57421875" style="172" customWidth="1"/>
    <col min="3" max="3" width="34.28125" style="172" customWidth="1"/>
    <col min="4" max="6" width="0" style="172" hidden="1" customWidth="1"/>
    <col min="7" max="16384" width="8.8515625" style="172" customWidth="1"/>
  </cols>
  <sheetData>
    <row r="1" spans="1:3" ht="15.75">
      <c r="A1" s="564"/>
      <c r="B1" s="564"/>
      <c r="C1" s="565" t="s">
        <v>810</v>
      </c>
    </row>
    <row r="2" spans="1:3" ht="15.75">
      <c r="A2" s="566"/>
      <c r="B2" s="566"/>
      <c r="C2" s="567" t="s">
        <v>811</v>
      </c>
    </row>
    <row r="3" spans="1:3" ht="15.75">
      <c r="A3" s="566"/>
      <c r="B3" s="566"/>
      <c r="C3" s="567" t="s">
        <v>812</v>
      </c>
    </row>
    <row r="4" spans="1:3" ht="15.75">
      <c r="A4" s="566"/>
      <c r="B4" s="566"/>
      <c r="C4" s="568" t="s">
        <v>953</v>
      </c>
    </row>
    <row r="5" spans="1:3" ht="15.75">
      <c r="A5" s="566"/>
      <c r="B5" s="566"/>
      <c r="C5" s="567" t="s">
        <v>954</v>
      </c>
    </row>
    <row r="6" spans="1:3" ht="15.75">
      <c r="A6" s="566"/>
      <c r="B6" s="566"/>
      <c r="C6" s="569"/>
    </row>
    <row r="7" spans="1:3" ht="15.75">
      <c r="A7" s="570"/>
      <c r="B7" s="571" t="s">
        <v>815</v>
      </c>
      <c r="C7" s="572"/>
    </row>
    <row r="8" spans="1:3" ht="15.75">
      <c r="A8" s="570"/>
      <c r="B8" s="571"/>
      <c r="C8" s="572"/>
    </row>
    <row r="9" spans="1:3" ht="15.75" thickBot="1">
      <c r="A9" s="573"/>
      <c r="B9" s="573"/>
      <c r="C9" s="574" t="s">
        <v>816</v>
      </c>
    </row>
    <row r="10" spans="1:3" ht="15">
      <c r="A10" s="575" t="s">
        <v>4</v>
      </c>
      <c r="B10" s="576"/>
      <c r="C10" s="577"/>
    </row>
    <row r="11" spans="1:3" ht="15">
      <c r="A11" s="578" t="s">
        <v>817</v>
      </c>
      <c r="B11" s="579" t="s">
        <v>11</v>
      </c>
      <c r="C11" s="580" t="s">
        <v>818</v>
      </c>
    </row>
    <row r="12" spans="1:3" ht="15.75" thickBot="1">
      <c r="A12" s="581" t="s">
        <v>26</v>
      </c>
      <c r="B12" s="582"/>
      <c r="C12" s="583"/>
    </row>
    <row r="13" spans="1:3" ht="15">
      <c r="A13" s="584"/>
      <c r="B13" s="585"/>
      <c r="C13" s="586"/>
    </row>
    <row r="14" spans="1:3" ht="15">
      <c r="A14" s="587">
        <v>30</v>
      </c>
      <c r="B14" s="588" t="s">
        <v>39</v>
      </c>
      <c r="C14" s="589">
        <v>382086</v>
      </c>
    </row>
    <row r="15" spans="1:3" ht="15.75">
      <c r="A15" s="587"/>
      <c r="B15" s="590"/>
      <c r="C15" s="589"/>
    </row>
    <row r="16" spans="1:3" ht="15">
      <c r="A16" s="587">
        <v>32</v>
      </c>
      <c r="B16" s="588" t="s">
        <v>67</v>
      </c>
      <c r="C16" s="589">
        <v>127409</v>
      </c>
    </row>
    <row r="17" spans="1:3" ht="15">
      <c r="A17" s="587"/>
      <c r="B17" s="588"/>
      <c r="C17" s="589"/>
    </row>
    <row r="18" spans="1:3" ht="15">
      <c r="A18" s="587">
        <v>35</v>
      </c>
      <c r="B18" s="588" t="s">
        <v>143</v>
      </c>
      <c r="C18" s="589">
        <v>363130</v>
      </c>
    </row>
    <row r="19" spans="1:3" ht="16.5" customHeight="1">
      <c r="A19" s="587"/>
      <c r="B19" s="588"/>
      <c r="C19" s="589"/>
    </row>
    <row r="20" spans="1:7" ht="15">
      <c r="A20" s="587">
        <v>38</v>
      </c>
      <c r="B20" s="588" t="s">
        <v>313</v>
      </c>
      <c r="C20" s="589">
        <v>33896</v>
      </c>
      <c r="G20" s="591"/>
    </row>
    <row r="21" spans="1:3" ht="15">
      <c r="A21" s="587"/>
      <c r="B21" s="588"/>
      <c r="C21" s="589"/>
    </row>
    <row r="22" spans="1:3" ht="15">
      <c r="A22" s="587"/>
      <c r="B22" s="588" t="s">
        <v>320</v>
      </c>
      <c r="C22" s="589">
        <v>1334748</v>
      </c>
    </row>
    <row r="23" spans="1:3" ht="15">
      <c r="A23" s="592"/>
      <c r="B23" s="593"/>
      <c r="C23" s="594"/>
    </row>
    <row r="24" spans="1:8" ht="16.5" thickBot="1">
      <c r="A24" s="595"/>
      <c r="B24" s="596" t="s">
        <v>819</v>
      </c>
      <c r="C24" s="597">
        <f>SUM(C14:C22)</f>
        <v>2241269</v>
      </c>
      <c r="D24" s="172">
        <v>3072425</v>
      </c>
      <c r="H24" s="591"/>
    </row>
    <row r="25" ht="12.75">
      <c r="C25" s="5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selection activeCell="L82" sqref="L82"/>
    </sheetView>
  </sheetViews>
  <sheetFormatPr defaultColWidth="8.8515625" defaultRowHeight="15"/>
  <cols>
    <col min="1" max="1" width="10.00390625" style="0" customWidth="1"/>
    <col min="2" max="2" width="8.57421875" style="0" customWidth="1"/>
    <col min="3" max="3" width="50.140625" style="0" customWidth="1"/>
    <col min="4" max="4" width="18.57421875" style="0" customWidth="1"/>
    <col min="5" max="5" width="9.8515625" style="0" hidden="1" customWidth="1"/>
    <col min="6" max="6" width="11.8515625" style="0" hidden="1" customWidth="1"/>
    <col min="7" max="7" width="11.421875" style="0" hidden="1" customWidth="1"/>
    <col min="8" max="9" width="8.8515625" style="0" hidden="1" customWidth="1"/>
    <col min="10" max="10" width="8.8515625" style="0" customWidth="1"/>
  </cols>
  <sheetData>
    <row r="1" spans="1:7" ht="15.75">
      <c r="A1" s="598" t="s">
        <v>820</v>
      </c>
      <c r="B1" s="599"/>
      <c r="C1" s="570"/>
      <c r="D1" s="565" t="s">
        <v>821</v>
      </c>
      <c r="E1" s="591"/>
      <c r="F1" s="172"/>
      <c r="G1" s="172"/>
    </row>
    <row r="2" spans="1:7" ht="15.75">
      <c r="A2" s="598"/>
      <c r="B2" s="599"/>
      <c r="C2" s="570"/>
      <c r="D2" s="567" t="s">
        <v>811</v>
      </c>
      <c r="E2" s="591"/>
      <c r="F2" s="172"/>
      <c r="G2" s="172"/>
    </row>
    <row r="3" spans="1:7" ht="15.75">
      <c r="A3" s="598"/>
      <c r="B3" s="599"/>
      <c r="C3" s="570"/>
      <c r="D3" s="568" t="s">
        <v>812</v>
      </c>
      <c r="E3" s="591"/>
      <c r="F3" s="172"/>
      <c r="G3" s="172"/>
    </row>
    <row r="4" spans="1:7" ht="15.75">
      <c r="A4" s="598"/>
      <c r="B4" s="599"/>
      <c r="C4" s="570"/>
      <c r="D4" s="568" t="s">
        <v>813</v>
      </c>
      <c r="E4" s="591"/>
      <c r="F4" s="172"/>
      <c r="G4" s="172"/>
    </row>
    <row r="5" spans="1:7" ht="15.75">
      <c r="A5" s="598"/>
      <c r="B5" s="599"/>
      <c r="C5" s="570"/>
      <c r="D5" s="567" t="s">
        <v>822</v>
      </c>
      <c r="E5" s="591"/>
      <c r="F5" s="172"/>
      <c r="G5" s="172"/>
    </row>
    <row r="6" spans="1:7" ht="15.75">
      <c r="A6" s="598"/>
      <c r="B6" s="599"/>
      <c r="C6" s="570"/>
      <c r="D6" s="569"/>
      <c r="E6" s="591"/>
      <c r="F6" s="172"/>
      <c r="G6" s="172"/>
    </row>
    <row r="7" spans="1:7" ht="16.5" thickBot="1">
      <c r="A7" s="598"/>
      <c r="B7" s="600" t="s">
        <v>823</v>
      </c>
      <c r="C7" s="601"/>
      <c r="D7" s="172"/>
      <c r="E7" s="591"/>
      <c r="F7" s="172"/>
      <c r="G7" s="172"/>
    </row>
    <row r="8" spans="1:7" ht="15.75">
      <c r="A8" s="602" t="s">
        <v>4</v>
      </c>
      <c r="B8" s="603"/>
      <c r="C8" s="604"/>
      <c r="D8" s="605"/>
      <c r="E8" s="591"/>
      <c r="F8" s="172"/>
      <c r="G8" s="172"/>
    </row>
    <row r="9" spans="1:7" ht="16.5" thickBot="1">
      <c r="A9" s="606" t="s">
        <v>824</v>
      </c>
      <c r="B9" s="607"/>
      <c r="C9" s="580" t="s">
        <v>11</v>
      </c>
      <c r="D9" s="608" t="s">
        <v>818</v>
      </c>
      <c r="E9" s="591"/>
      <c r="F9" s="172"/>
      <c r="G9" s="172"/>
    </row>
    <row r="10" spans="1:7" ht="15.75">
      <c r="A10" s="602" t="s">
        <v>349</v>
      </c>
      <c r="B10" s="609" t="s">
        <v>26</v>
      </c>
      <c r="C10" s="580"/>
      <c r="D10" s="610"/>
      <c r="E10" s="591"/>
      <c r="F10" s="172"/>
      <c r="G10" s="172"/>
    </row>
    <row r="11" spans="1:7" ht="15.75">
      <c r="A11" s="611" t="s">
        <v>355</v>
      </c>
      <c r="B11" s="612" t="s">
        <v>356</v>
      </c>
      <c r="C11" s="580"/>
      <c r="D11" s="610"/>
      <c r="E11" s="591"/>
      <c r="F11" s="172"/>
      <c r="G11" s="172"/>
    </row>
    <row r="12" spans="1:7" ht="15.75">
      <c r="A12" s="611" t="s">
        <v>357</v>
      </c>
      <c r="B12" s="612" t="s">
        <v>363</v>
      </c>
      <c r="C12" s="580"/>
      <c r="D12" s="613"/>
      <c r="E12" s="591"/>
      <c r="F12" s="172"/>
      <c r="G12" s="172"/>
    </row>
    <row r="13" spans="1:7" ht="16.5" thickBot="1">
      <c r="A13" s="606"/>
      <c r="B13" s="614" t="s">
        <v>825</v>
      </c>
      <c r="C13" s="583"/>
      <c r="D13" s="615"/>
      <c r="E13" s="591"/>
      <c r="F13" s="172"/>
      <c r="G13" s="172"/>
    </row>
    <row r="14" spans="1:7" ht="16.5" thickBot="1">
      <c r="A14" s="616">
        <v>1</v>
      </c>
      <c r="B14" s="617">
        <v>2</v>
      </c>
      <c r="C14" s="618">
        <v>3</v>
      </c>
      <c r="D14" s="619">
        <v>4</v>
      </c>
      <c r="E14" s="591"/>
      <c r="F14" s="172"/>
      <c r="G14" s="172"/>
    </row>
    <row r="15" spans="1:7" ht="15.75">
      <c r="A15" s="620" t="s">
        <v>368</v>
      </c>
      <c r="B15" s="621"/>
      <c r="C15" s="621" t="s">
        <v>369</v>
      </c>
      <c r="D15" s="622">
        <f>D23+D33+D42+D44+D53+D49</f>
        <v>291091</v>
      </c>
      <c r="E15" s="623"/>
      <c r="F15" s="591">
        <f>D15-E15</f>
        <v>291091</v>
      </c>
      <c r="G15" s="591">
        <f>D23+D33+D42+D44+D53+D49</f>
        <v>291091</v>
      </c>
    </row>
    <row r="16" spans="1:7" ht="15.75">
      <c r="A16" s="624"/>
      <c r="B16" s="625"/>
      <c r="C16" s="626"/>
      <c r="D16" s="627"/>
      <c r="E16" s="591"/>
      <c r="F16" s="172"/>
      <c r="G16" s="172"/>
    </row>
    <row r="17" spans="1:5" ht="15.75">
      <c r="A17" s="628" t="s">
        <v>371</v>
      </c>
      <c r="B17" s="629"/>
      <c r="C17" s="630" t="s">
        <v>826</v>
      </c>
      <c r="D17" s="631"/>
      <c r="E17" s="591"/>
    </row>
    <row r="18" spans="1:5" ht="15.75">
      <c r="A18" s="628"/>
      <c r="B18" s="629"/>
      <c r="C18" s="630"/>
      <c r="D18" s="631"/>
      <c r="E18" s="591"/>
    </row>
    <row r="19" spans="1:5" ht="15.75" hidden="1">
      <c r="A19" s="628"/>
      <c r="B19" s="625">
        <v>4</v>
      </c>
      <c r="C19" s="632" t="s">
        <v>827</v>
      </c>
      <c r="D19" s="631"/>
      <c r="E19" s="591"/>
    </row>
    <row r="20" spans="1:5" ht="15.75" hidden="1">
      <c r="A20" s="633"/>
      <c r="B20" s="634">
        <v>50</v>
      </c>
      <c r="C20" s="589" t="s">
        <v>828</v>
      </c>
      <c r="D20" s="631"/>
      <c r="E20" s="591"/>
    </row>
    <row r="21" spans="1:5" ht="16.5" thickBot="1">
      <c r="A21" s="628"/>
      <c r="B21" s="634">
        <v>55</v>
      </c>
      <c r="C21" s="589" t="s">
        <v>551</v>
      </c>
      <c r="D21" s="631">
        <v>1070</v>
      </c>
      <c r="E21" s="591"/>
    </row>
    <row r="22" spans="1:5" ht="16.5" hidden="1" thickBot="1">
      <c r="A22" s="635"/>
      <c r="B22" s="612">
        <v>6</v>
      </c>
      <c r="C22" s="636" t="s">
        <v>829</v>
      </c>
      <c r="D22" s="613"/>
      <c r="E22" s="591"/>
    </row>
    <row r="23" spans="1:5" ht="16.5" thickBot="1">
      <c r="A23" s="637"/>
      <c r="B23" s="638"/>
      <c r="C23" s="639" t="s">
        <v>830</v>
      </c>
      <c r="D23" s="640">
        <f>SUM(D19:D22)</f>
        <v>1070</v>
      </c>
      <c r="E23" s="591"/>
    </row>
    <row r="24" spans="1:5" ht="15.75">
      <c r="A24" s="641"/>
      <c r="B24" s="642"/>
      <c r="C24" s="643"/>
      <c r="D24" s="644"/>
      <c r="E24" s="591"/>
    </row>
    <row r="25" spans="1:5" ht="15.75">
      <c r="A25" s="628" t="s">
        <v>375</v>
      </c>
      <c r="B25" s="634"/>
      <c r="C25" s="630" t="s">
        <v>831</v>
      </c>
      <c r="D25" s="631"/>
      <c r="E25" s="591"/>
    </row>
    <row r="26" spans="1:5" ht="15.75">
      <c r="A26" s="628"/>
      <c r="B26" s="634"/>
      <c r="C26" s="630"/>
      <c r="D26" s="631"/>
      <c r="E26" s="591"/>
    </row>
    <row r="27" spans="1:5" ht="15.75">
      <c r="A27" s="628"/>
      <c r="B27" s="625">
        <v>4</v>
      </c>
      <c r="C27" s="632" t="s">
        <v>832</v>
      </c>
      <c r="D27" s="631">
        <v>798</v>
      </c>
      <c r="E27" s="591"/>
    </row>
    <row r="28" spans="1:5" ht="15.75">
      <c r="A28" s="628"/>
      <c r="B28" s="634">
        <v>50</v>
      </c>
      <c r="C28" s="589" t="s">
        <v>828</v>
      </c>
      <c r="D28" s="631">
        <v>-6000</v>
      </c>
      <c r="E28" s="591"/>
    </row>
    <row r="29" spans="1:5" ht="15.75">
      <c r="A29" s="628"/>
      <c r="B29" s="634">
        <v>55</v>
      </c>
      <c r="C29" s="589" t="s">
        <v>551</v>
      </c>
      <c r="D29" s="631">
        <v>26033</v>
      </c>
      <c r="E29" s="591"/>
    </row>
    <row r="30" spans="1:5" ht="15.75">
      <c r="A30" s="628"/>
      <c r="B30" s="634">
        <v>15</v>
      </c>
      <c r="C30" s="589" t="s">
        <v>833</v>
      </c>
      <c r="D30" s="631">
        <v>11102</v>
      </c>
      <c r="E30" s="591"/>
    </row>
    <row r="31" spans="1:5" ht="15.75">
      <c r="A31" s="628"/>
      <c r="B31" s="634"/>
      <c r="C31" s="589" t="s">
        <v>834</v>
      </c>
      <c r="D31" s="627"/>
      <c r="E31" s="591"/>
    </row>
    <row r="32" spans="1:5" ht="16.5" thickBot="1">
      <c r="A32" s="635"/>
      <c r="B32" s="612">
        <v>6</v>
      </c>
      <c r="C32" s="636" t="s">
        <v>829</v>
      </c>
      <c r="D32" s="613">
        <v>1023</v>
      </c>
      <c r="E32" s="591"/>
    </row>
    <row r="33" spans="1:8" ht="16.5" thickBot="1">
      <c r="A33" s="637"/>
      <c r="B33" s="645"/>
      <c r="C33" s="639" t="s">
        <v>830</v>
      </c>
      <c r="D33" s="640">
        <f>SUM(D27:D32)</f>
        <v>32956</v>
      </c>
      <c r="E33" s="591"/>
      <c r="F33" s="172"/>
      <c r="G33" s="172"/>
      <c r="H33" s="172"/>
    </row>
    <row r="34" spans="1:8" ht="15.75">
      <c r="A34" s="635"/>
      <c r="B34" s="646"/>
      <c r="C34" s="647"/>
      <c r="D34" s="648"/>
      <c r="E34" s="591"/>
      <c r="F34" s="172"/>
      <c r="G34" s="172"/>
      <c r="H34" s="172"/>
    </row>
    <row r="35" spans="1:8" ht="15.75">
      <c r="A35" s="635"/>
      <c r="B35" s="646"/>
      <c r="C35" s="647"/>
      <c r="D35" s="648"/>
      <c r="E35" s="591"/>
      <c r="F35" s="172"/>
      <c r="G35" s="172"/>
      <c r="H35" s="172"/>
    </row>
    <row r="36" spans="1:8" ht="15.75">
      <c r="A36" s="628" t="s">
        <v>380</v>
      </c>
      <c r="B36" s="629"/>
      <c r="C36" s="630" t="s">
        <v>835</v>
      </c>
      <c r="D36" s="649"/>
      <c r="E36" s="591"/>
      <c r="F36" s="172"/>
      <c r="G36" s="172"/>
      <c r="H36" s="172"/>
    </row>
    <row r="37" spans="1:8" ht="15.75">
      <c r="A37" s="628"/>
      <c r="B37" s="629"/>
      <c r="C37" s="632"/>
      <c r="D37" s="649"/>
      <c r="E37" s="591"/>
      <c r="F37" s="172"/>
      <c r="G37" s="172"/>
      <c r="H37" s="172"/>
    </row>
    <row r="38" spans="1:8" ht="16.5" thickBot="1">
      <c r="A38" s="628"/>
      <c r="B38" s="634">
        <v>50</v>
      </c>
      <c r="C38" s="589" t="s">
        <v>828</v>
      </c>
      <c r="D38" s="631">
        <v>256</v>
      </c>
      <c r="E38" s="591"/>
      <c r="F38" s="172"/>
      <c r="G38" s="172"/>
      <c r="H38" s="172"/>
    </row>
    <row r="39" spans="1:8" ht="16.5" hidden="1" thickBot="1">
      <c r="A39" s="628"/>
      <c r="B39" s="634">
        <v>55</v>
      </c>
      <c r="C39" s="589" t="s">
        <v>551</v>
      </c>
      <c r="D39" s="631"/>
      <c r="E39" s="591"/>
      <c r="F39" s="172"/>
      <c r="G39" s="172"/>
      <c r="H39" s="172"/>
    </row>
    <row r="40" spans="1:8" ht="16.5" hidden="1" thickBot="1">
      <c r="A40" s="628"/>
      <c r="B40" s="625">
        <v>15</v>
      </c>
      <c r="C40" s="589" t="s">
        <v>836</v>
      </c>
      <c r="D40" s="631"/>
      <c r="E40" s="591"/>
      <c r="F40" s="172"/>
      <c r="G40" s="172"/>
      <c r="H40" s="172"/>
    </row>
    <row r="41" spans="1:8" ht="16.5" hidden="1" thickBot="1">
      <c r="A41" s="650"/>
      <c r="B41" s="651"/>
      <c r="C41" s="652" t="s">
        <v>837</v>
      </c>
      <c r="D41" s="653"/>
      <c r="E41" s="591"/>
      <c r="F41" s="172"/>
      <c r="G41" s="172"/>
      <c r="H41" s="172"/>
    </row>
    <row r="42" spans="1:8" ht="16.5" thickBot="1">
      <c r="A42" s="637"/>
      <c r="B42" s="638"/>
      <c r="C42" s="639" t="s">
        <v>830</v>
      </c>
      <c r="D42" s="654">
        <f>SUM(D38:D41)</f>
        <v>256</v>
      </c>
      <c r="E42" s="591"/>
      <c r="F42" s="172"/>
      <c r="G42" s="172"/>
      <c r="H42" s="172"/>
    </row>
    <row r="43" spans="1:8" ht="16.5" thickBot="1">
      <c r="A43" s="635"/>
      <c r="B43" s="655"/>
      <c r="C43" s="647"/>
      <c r="D43" s="656"/>
      <c r="E43" s="591"/>
      <c r="F43" s="172"/>
      <c r="G43" s="172"/>
      <c r="H43" s="172"/>
    </row>
    <row r="44" spans="1:8" ht="16.5" thickBot="1">
      <c r="A44" s="637" t="s">
        <v>382</v>
      </c>
      <c r="B44" s="638"/>
      <c r="C44" s="657" t="s">
        <v>838</v>
      </c>
      <c r="D44" s="658">
        <f>SUM(D45:D47)</f>
        <v>323017</v>
      </c>
      <c r="E44" s="659"/>
      <c r="F44" s="172"/>
      <c r="G44" s="172"/>
      <c r="H44" s="172"/>
    </row>
    <row r="45" spans="1:8" ht="15.75">
      <c r="A45" s="624"/>
      <c r="B45" s="625"/>
      <c r="C45" s="589" t="s">
        <v>839</v>
      </c>
      <c r="D45" s="660">
        <f>187992-49</f>
        <v>187943</v>
      </c>
      <c r="E45" s="661"/>
      <c r="F45" s="573"/>
      <c r="G45" s="573"/>
      <c r="H45" s="573"/>
    </row>
    <row r="46" spans="1:8" ht="15.75" hidden="1">
      <c r="A46" s="624"/>
      <c r="B46" s="625"/>
      <c r="C46" s="589" t="s">
        <v>840</v>
      </c>
      <c r="D46" s="660"/>
      <c r="E46" s="661"/>
      <c r="F46" s="573"/>
      <c r="G46" s="573"/>
      <c r="H46" s="573"/>
    </row>
    <row r="47" spans="1:8" ht="16.5" thickBot="1">
      <c r="A47" s="624"/>
      <c r="B47" s="625"/>
      <c r="C47" s="589" t="s">
        <v>841</v>
      </c>
      <c r="D47" s="660">
        <v>135074</v>
      </c>
      <c r="E47" s="661"/>
      <c r="F47" s="573"/>
      <c r="G47" s="573"/>
      <c r="H47" s="573"/>
    </row>
    <row r="48" spans="1:8" ht="16.5" thickBot="1">
      <c r="A48" s="662" t="s">
        <v>396</v>
      </c>
      <c r="B48" s="663"/>
      <c r="C48" s="664" t="s">
        <v>842</v>
      </c>
      <c r="D48" s="658"/>
      <c r="E48" s="591"/>
      <c r="F48" s="172"/>
      <c r="G48" s="172"/>
      <c r="H48" s="172"/>
    </row>
    <row r="49" spans="1:5" ht="16.5" thickBot="1">
      <c r="A49" s="637"/>
      <c r="B49" s="638"/>
      <c r="C49" s="657" t="s">
        <v>843</v>
      </c>
      <c r="D49" s="658">
        <v>6895</v>
      </c>
      <c r="E49" s="591"/>
    </row>
    <row r="50" spans="1:5" ht="16.5" thickBot="1">
      <c r="A50" s="637"/>
      <c r="B50" s="638"/>
      <c r="C50" s="657"/>
      <c r="D50" s="658"/>
      <c r="E50" s="591"/>
    </row>
    <row r="51" spans="1:5" ht="16.5" hidden="1" thickBot="1">
      <c r="A51" s="665" t="s">
        <v>402</v>
      </c>
      <c r="B51" s="666"/>
      <c r="C51" s="667" t="s">
        <v>844</v>
      </c>
      <c r="D51" s="658"/>
      <c r="E51" s="591"/>
    </row>
    <row r="52" spans="1:5" ht="16.5" hidden="1" thickBot="1">
      <c r="A52" s="637"/>
      <c r="B52" s="638"/>
      <c r="C52" s="657"/>
      <c r="D52" s="658"/>
      <c r="E52" s="591"/>
    </row>
    <row r="53" spans="1:5" ht="16.5" thickBot="1">
      <c r="A53" s="637" t="s">
        <v>404</v>
      </c>
      <c r="B53" s="617"/>
      <c r="C53" s="657" t="s">
        <v>845</v>
      </c>
      <c r="D53" s="658">
        <v>-73103</v>
      </c>
      <c r="E53" s="591"/>
    </row>
    <row r="54" spans="1:5" ht="16.5" thickBot="1">
      <c r="A54" s="635"/>
      <c r="B54" s="655"/>
      <c r="C54" s="668"/>
      <c r="D54" s="669"/>
      <c r="E54" s="591"/>
    </row>
    <row r="55" spans="1:5" ht="16.5" thickBot="1">
      <c r="A55" s="670" t="s">
        <v>422</v>
      </c>
      <c r="B55" s="671"/>
      <c r="C55" s="672" t="s">
        <v>423</v>
      </c>
      <c r="D55" s="673">
        <f>D56+D57+D68</f>
        <v>600</v>
      </c>
      <c r="E55" s="623"/>
    </row>
    <row r="56" spans="1:5" ht="15.75" hidden="1">
      <c r="A56" s="674">
        <v>3200</v>
      </c>
      <c r="B56" s="675"/>
      <c r="C56" s="676" t="s">
        <v>846</v>
      </c>
      <c r="D56" s="677">
        <v>0</v>
      </c>
      <c r="E56" s="591"/>
    </row>
    <row r="57" spans="1:5" ht="15.75" hidden="1">
      <c r="A57" s="628" t="s">
        <v>424</v>
      </c>
      <c r="B57" s="629"/>
      <c r="C57" s="630" t="s">
        <v>847</v>
      </c>
      <c r="D57" s="649"/>
      <c r="E57" s="591"/>
    </row>
    <row r="58" spans="1:5" ht="15.75" hidden="1">
      <c r="A58" s="628"/>
      <c r="B58" s="629"/>
      <c r="C58" s="630"/>
      <c r="D58" s="649"/>
      <c r="E58" s="591"/>
    </row>
    <row r="59" spans="1:5" ht="15.75" hidden="1">
      <c r="A59" s="628"/>
      <c r="B59" s="634">
        <v>50</v>
      </c>
      <c r="C59" s="589" t="s">
        <v>828</v>
      </c>
      <c r="D59" s="631"/>
      <c r="E59" s="591"/>
    </row>
    <row r="60" spans="1:5" ht="15.75" hidden="1">
      <c r="A60" s="628"/>
      <c r="B60" s="634">
        <v>55</v>
      </c>
      <c r="C60" s="589" t="s">
        <v>551</v>
      </c>
      <c r="D60" s="631"/>
      <c r="E60" s="591"/>
    </row>
    <row r="61" spans="1:5" ht="15.75" hidden="1">
      <c r="A61" s="628"/>
      <c r="B61" s="634"/>
      <c r="C61" s="589" t="s">
        <v>848</v>
      </c>
      <c r="D61" s="631"/>
      <c r="E61" s="591"/>
    </row>
    <row r="62" spans="1:5" ht="15.75" hidden="1">
      <c r="A62" s="650"/>
      <c r="B62" s="678"/>
      <c r="C62" s="652" t="s">
        <v>849</v>
      </c>
      <c r="D62" s="653"/>
      <c r="E62" s="591"/>
    </row>
    <row r="63" spans="1:5" ht="16.5" hidden="1" thickBot="1">
      <c r="A63" s="637"/>
      <c r="B63" s="638"/>
      <c r="C63" s="639" t="s">
        <v>830</v>
      </c>
      <c r="D63" s="640">
        <f>SUM(D59:D62)</f>
        <v>0</v>
      </c>
      <c r="E63" s="591"/>
    </row>
    <row r="64" spans="1:5" ht="15.75" hidden="1">
      <c r="A64" s="628"/>
      <c r="B64" s="629"/>
      <c r="C64" s="679"/>
      <c r="D64" s="649"/>
      <c r="E64" s="591"/>
    </row>
    <row r="65" spans="1:9" ht="15.75">
      <c r="A65" s="680" t="s">
        <v>433</v>
      </c>
      <c r="B65" s="629"/>
      <c r="C65" s="630" t="s">
        <v>850</v>
      </c>
      <c r="D65" s="649"/>
      <c r="E65" s="591"/>
      <c r="F65" s="172"/>
      <c r="G65" s="172"/>
      <c r="H65" s="172"/>
      <c r="I65" s="172"/>
    </row>
    <row r="66" spans="1:9" ht="15.75">
      <c r="A66" s="628"/>
      <c r="B66" s="629"/>
      <c r="C66" s="630"/>
      <c r="D66" s="649"/>
      <c r="E66" s="591"/>
      <c r="F66" s="172"/>
      <c r="G66" s="172"/>
      <c r="H66" s="172"/>
      <c r="I66" s="172"/>
    </row>
    <row r="67" spans="1:9" ht="16.5" thickBot="1">
      <c r="A67" s="650"/>
      <c r="B67" s="634">
        <v>4528</v>
      </c>
      <c r="C67" s="589" t="s">
        <v>851</v>
      </c>
      <c r="D67" s="631">
        <v>600</v>
      </c>
      <c r="E67" s="591"/>
      <c r="F67" s="172"/>
      <c r="G67" s="172"/>
      <c r="H67" s="172"/>
      <c r="I67" s="172"/>
    </row>
    <row r="68" spans="1:9" ht="16.5" thickBot="1">
      <c r="A68" s="637"/>
      <c r="B68" s="638"/>
      <c r="C68" s="639" t="s">
        <v>830</v>
      </c>
      <c r="D68" s="640">
        <f>SUM(D67:D67)</f>
        <v>600</v>
      </c>
      <c r="E68" s="591"/>
      <c r="F68" s="172"/>
      <c r="G68" s="172"/>
      <c r="H68" s="172"/>
      <c r="I68" s="681"/>
    </row>
    <row r="69" spans="1:9" ht="15.75">
      <c r="A69" s="641"/>
      <c r="B69" s="642"/>
      <c r="C69" s="682"/>
      <c r="D69" s="649"/>
      <c r="E69" s="591"/>
      <c r="F69" s="172"/>
      <c r="G69" s="172"/>
      <c r="H69" s="172"/>
      <c r="I69" s="172"/>
    </row>
    <row r="70" spans="1:9" ht="16.5" thickBot="1">
      <c r="A70" s="683"/>
      <c r="B70" s="684"/>
      <c r="C70" s="685" t="s">
        <v>852</v>
      </c>
      <c r="D70" s="686">
        <f>D72+D92+D94+D96</f>
        <v>1602791</v>
      </c>
      <c r="E70" s="623"/>
      <c r="F70" s="591">
        <f>D70-E70</f>
        <v>1602791</v>
      </c>
      <c r="G70" s="591">
        <f>D72+D77+D84</f>
        <v>174766</v>
      </c>
      <c r="H70" s="172"/>
      <c r="I70" s="172"/>
    </row>
    <row r="71" spans="1:9" ht="16.5" thickBot="1">
      <c r="A71" s="650"/>
      <c r="B71" s="651"/>
      <c r="C71" s="687"/>
      <c r="D71" s="688"/>
      <c r="E71" s="591"/>
      <c r="F71" s="591"/>
      <c r="G71" s="591">
        <f>E72+E77+D84</f>
        <v>3766</v>
      </c>
      <c r="H71" s="172"/>
      <c r="I71" s="172"/>
    </row>
    <row r="72" spans="1:9" ht="16.5" thickBot="1">
      <c r="A72" s="637" t="s">
        <v>437</v>
      </c>
      <c r="B72" s="617">
        <v>55</v>
      </c>
      <c r="C72" s="689" t="s">
        <v>853</v>
      </c>
      <c r="D72" s="690">
        <v>153031</v>
      </c>
      <c r="E72" s="591"/>
      <c r="F72" s="591">
        <f>D72-E72</f>
        <v>153031</v>
      </c>
      <c r="G72" s="591"/>
      <c r="H72" s="172"/>
      <c r="I72" s="172"/>
    </row>
    <row r="73" spans="1:9" ht="15.75">
      <c r="A73" s="641"/>
      <c r="B73" s="691"/>
      <c r="C73" s="692"/>
      <c r="D73" s="693"/>
      <c r="E73" s="591"/>
      <c r="F73" s="591"/>
      <c r="G73" s="172"/>
      <c r="H73" s="172"/>
      <c r="I73" s="172"/>
    </row>
    <row r="74" spans="1:9" ht="15.75">
      <c r="A74" s="628" t="s">
        <v>479</v>
      </c>
      <c r="B74" s="625"/>
      <c r="C74" s="694" t="s">
        <v>854</v>
      </c>
      <c r="D74" s="693"/>
      <c r="E74" s="591"/>
      <c r="F74" s="172"/>
      <c r="G74" s="172"/>
      <c r="H74" s="172"/>
      <c r="I74" s="172"/>
    </row>
    <row r="75" spans="1:9" ht="18" customHeight="1">
      <c r="A75" s="628"/>
      <c r="B75" s="625">
        <v>50</v>
      </c>
      <c r="C75" s="695" t="s">
        <v>828</v>
      </c>
      <c r="D75" s="660">
        <v>17287</v>
      </c>
      <c r="E75" s="172"/>
      <c r="F75" s="172"/>
      <c r="G75" s="172"/>
      <c r="H75" s="172"/>
      <c r="I75" s="172"/>
    </row>
    <row r="76" spans="1:9" ht="16.5" thickBot="1">
      <c r="A76" s="635"/>
      <c r="B76" s="624">
        <v>55</v>
      </c>
      <c r="C76" s="589" t="s">
        <v>551</v>
      </c>
      <c r="D76" s="696">
        <v>682</v>
      </c>
      <c r="E76" s="591"/>
      <c r="F76" s="172"/>
      <c r="G76" s="172"/>
      <c r="H76" s="172"/>
      <c r="I76" s="172"/>
    </row>
    <row r="77" spans="1:9" ht="16.5" thickBot="1">
      <c r="A77" s="637"/>
      <c r="B77" s="617"/>
      <c r="C77" s="639" t="s">
        <v>830</v>
      </c>
      <c r="D77" s="658">
        <f>SUM(D75:D76)</f>
        <v>17969</v>
      </c>
      <c r="E77" s="591"/>
      <c r="F77" s="172"/>
      <c r="G77" s="172"/>
      <c r="H77" s="172"/>
      <c r="I77" s="172"/>
    </row>
    <row r="78" spans="1:9" ht="15.75">
      <c r="A78" s="635"/>
      <c r="B78" s="611"/>
      <c r="C78" s="697"/>
      <c r="D78" s="698"/>
      <c r="E78" s="591"/>
      <c r="F78" s="172"/>
      <c r="G78" s="172"/>
      <c r="H78" s="172"/>
      <c r="I78" s="172"/>
    </row>
    <row r="79" spans="1:9" ht="15.75">
      <c r="A79" s="628" t="s">
        <v>479</v>
      </c>
      <c r="B79" s="624"/>
      <c r="C79" s="694" t="s">
        <v>855</v>
      </c>
      <c r="D79" s="693"/>
      <c r="E79" s="591"/>
      <c r="F79" s="172"/>
      <c r="G79" s="172"/>
      <c r="H79" s="172"/>
      <c r="I79" s="172"/>
    </row>
    <row r="80" spans="1:9" ht="15.75">
      <c r="A80" s="628"/>
      <c r="B80" s="624">
        <v>50</v>
      </c>
      <c r="C80" s="695" t="s">
        <v>828</v>
      </c>
      <c r="D80" s="660">
        <v>3766</v>
      </c>
      <c r="E80" s="591"/>
      <c r="F80" s="172"/>
      <c r="G80" s="172"/>
      <c r="H80" s="172"/>
      <c r="I80" s="172"/>
    </row>
    <row r="81" spans="1:8" ht="15.75">
      <c r="A81" s="635"/>
      <c r="B81" s="624">
        <v>55</v>
      </c>
      <c r="C81" s="589" t="s">
        <v>551</v>
      </c>
      <c r="D81" s="589">
        <v>-250</v>
      </c>
      <c r="E81" s="591"/>
      <c r="F81" s="172"/>
      <c r="G81" s="172"/>
      <c r="H81" s="172"/>
    </row>
    <row r="82" spans="1:8" ht="16.5" thickBot="1">
      <c r="A82" s="635"/>
      <c r="B82" s="611">
        <v>6</v>
      </c>
      <c r="C82" s="699" t="s">
        <v>829</v>
      </c>
      <c r="D82" s="696">
        <v>250</v>
      </c>
      <c r="E82" s="591"/>
      <c r="F82" s="172"/>
      <c r="G82" s="172"/>
      <c r="H82" s="172"/>
    </row>
    <row r="83" spans="1:8" ht="16.5" hidden="1" thickBot="1">
      <c r="A83" s="635"/>
      <c r="B83" s="611">
        <v>15</v>
      </c>
      <c r="C83" s="700" t="s">
        <v>856</v>
      </c>
      <c r="D83" s="696"/>
      <c r="E83" s="591"/>
      <c r="F83" s="172"/>
      <c r="G83" s="172"/>
      <c r="H83" s="172"/>
    </row>
    <row r="84" spans="1:8" ht="16.5" thickBot="1">
      <c r="A84" s="637"/>
      <c r="B84" s="617"/>
      <c r="C84" s="701" t="s">
        <v>830</v>
      </c>
      <c r="D84" s="658">
        <f>SUM(D80:D83)</f>
        <v>3766</v>
      </c>
      <c r="E84" s="591"/>
      <c r="F84" s="591"/>
      <c r="G84" s="591"/>
      <c r="H84" s="172"/>
    </row>
    <row r="85" spans="1:8" ht="15.75" hidden="1">
      <c r="A85" s="635" t="s">
        <v>590</v>
      </c>
      <c r="B85" s="612"/>
      <c r="C85" s="647" t="s">
        <v>857</v>
      </c>
      <c r="D85" s="698"/>
      <c r="E85" s="591"/>
      <c r="F85" s="591"/>
      <c r="G85" s="591"/>
      <c r="H85" s="172"/>
    </row>
    <row r="86" spans="1:8" ht="15.75" hidden="1">
      <c r="A86" s="635"/>
      <c r="B86" s="625">
        <v>50</v>
      </c>
      <c r="C86" s="695" t="s">
        <v>828</v>
      </c>
      <c r="D86" s="613">
        <v>0</v>
      </c>
      <c r="E86" s="591"/>
      <c r="F86" s="591"/>
      <c r="G86" s="591"/>
      <c r="H86" s="172"/>
    </row>
    <row r="87" spans="1:8" ht="15.75" hidden="1">
      <c r="A87" s="635"/>
      <c r="B87" s="624">
        <v>55</v>
      </c>
      <c r="C87" s="589" t="s">
        <v>551</v>
      </c>
      <c r="D87" s="613">
        <v>0</v>
      </c>
      <c r="E87" s="591"/>
      <c r="F87" s="591"/>
      <c r="G87" s="591"/>
      <c r="H87" s="172"/>
    </row>
    <row r="88" spans="1:8" ht="15.75" hidden="1">
      <c r="A88" s="635"/>
      <c r="B88" s="611">
        <v>15</v>
      </c>
      <c r="C88" s="702" t="s">
        <v>856</v>
      </c>
      <c r="D88" s="613"/>
      <c r="E88" s="591"/>
      <c r="F88" s="591"/>
      <c r="G88" s="591"/>
      <c r="H88" s="172"/>
    </row>
    <row r="89" spans="1:8" ht="15.75" hidden="1">
      <c r="A89" s="635"/>
      <c r="B89" s="612"/>
      <c r="C89" s="647" t="s">
        <v>830</v>
      </c>
      <c r="D89" s="698">
        <f>SUM(D86:D87)</f>
        <v>0</v>
      </c>
      <c r="E89" s="591"/>
      <c r="F89" s="591"/>
      <c r="G89" s="591"/>
      <c r="H89" s="172"/>
    </row>
    <row r="90" spans="1:8" ht="16.5" hidden="1" thickBot="1">
      <c r="A90" s="635"/>
      <c r="B90" s="612"/>
      <c r="C90" s="639" t="s">
        <v>858</v>
      </c>
      <c r="D90" s="658">
        <f>D84+D89</f>
        <v>3766</v>
      </c>
      <c r="E90" s="623"/>
      <c r="F90" s="591"/>
      <c r="G90" s="591"/>
      <c r="H90" s="172"/>
    </row>
    <row r="91" spans="1:8" ht="16.5" thickBot="1">
      <c r="A91" s="635"/>
      <c r="B91" s="612"/>
      <c r="C91" s="647"/>
      <c r="D91" s="703"/>
      <c r="E91" s="591"/>
      <c r="F91" s="172"/>
      <c r="G91" s="172"/>
      <c r="H91" s="172"/>
    </row>
    <row r="92" spans="1:8" ht="16.5" thickBot="1">
      <c r="A92" s="665" t="s">
        <v>483</v>
      </c>
      <c r="B92" s="704"/>
      <c r="C92" s="705" t="s">
        <v>484</v>
      </c>
      <c r="D92" s="658">
        <v>21907</v>
      </c>
      <c r="E92" s="591"/>
      <c r="F92" s="172"/>
      <c r="G92" s="172"/>
      <c r="H92" s="172"/>
    </row>
    <row r="93" spans="1:8" ht="16.5" thickBot="1">
      <c r="A93" s="650"/>
      <c r="B93" s="706"/>
      <c r="C93" s="707"/>
      <c r="D93" s="708"/>
      <c r="E93" s="591"/>
      <c r="F93" s="172"/>
      <c r="G93" s="172"/>
      <c r="H93" s="172"/>
    </row>
    <row r="94" spans="1:8" ht="16.5" thickBot="1">
      <c r="A94" s="665" t="s">
        <v>498</v>
      </c>
      <c r="B94" s="704">
        <v>55</v>
      </c>
      <c r="C94" s="705" t="s">
        <v>499</v>
      </c>
      <c r="D94" s="658">
        <v>1382546</v>
      </c>
      <c r="E94" s="591"/>
      <c r="F94" s="172"/>
      <c r="G94" s="172"/>
      <c r="H94" s="172"/>
    </row>
    <row r="95" spans="1:8" ht="16.5" thickBot="1">
      <c r="A95" s="635"/>
      <c r="B95" s="709"/>
      <c r="C95" s="710"/>
      <c r="D95" s="711"/>
      <c r="E95" s="591"/>
      <c r="F95" s="172"/>
      <c r="G95" s="172"/>
      <c r="H95" s="172"/>
    </row>
    <row r="96" spans="1:8" ht="16.5" thickBot="1">
      <c r="A96" s="665" t="s">
        <v>498</v>
      </c>
      <c r="B96" s="704">
        <v>55</v>
      </c>
      <c r="C96" s="705" t="s">
        <v>511</v>
      </c>
      <c r="D96" s="658">
        <v>45307</v>
      </c>
      <c r="E96" s="712"/>
      <c r="F96" s="712"/>
      <c r="G96" s="713"/>
      <c r="H96" s="714"/>
    </row>
    <row r="97" spans="1:9" ht="16.5" thickBot="1">
      <c r="A97" s="715"/>
      <c r="B97" s="716"/>
      <c r="C97" s="717"/>
      <c r="D97" s="718"/>
      <c r="E97" s="719"/>
      <c r="F97" s="720"/>
      <c r="G97" s="714"/>
      <c r="H97" s="714"/>
      <c r="I97" s="172"/>
    </row>
    <row r="98" spans="1:9" ht="16.5" hidden="1" thickBot="1">
      <c r="A98" s="721"/>
      <c r="B98" s="722"/>
      <c r="C98" s="723"/>
      <c r="D98" s="724"/>
      <c r="E98" s="719"/>
      <c r="F98" s="720"/>
      <c r="G98" s="725"/>
      <c r="H98" s="714"/>
      <c r="I98" s="172"/>
    </row>
    <row r="99" spans="1:9" ht="16.5" hidden="1" thickBot="1">
      <c r="A99" s="726" t="s">
        <v>521</v>
      </c>
      <c r="B99" s="727"/>
      <c r="C99" s="728" t="s">
        <v>525</v>
      </c>
      <c r="D99" s="729">
        <f>D101+D104+D106+D107</f>
        <v>0</v>
      </c>
      <c r="E99" s="719"/>
      <c r="F99" s="720"/>
      <c r="G99" s="725"/>
      <c r="H99" s="714"/>
      <c r="I99" s="730"/>
    </row>
    <row r="100" spans="1:9" ht="16.5" hidden="1" thickBot="1">
      <c r="A100" s="731"/>
      <c r="B100" s="732"/>
      <c r="C100" s="733"/>
      <c r="D100" s="734"/>
      <c r="E100" s="719"/>
      <c r="F100" s="720"/>
      <c r="G100" s="725"/>
      <c r="H100" s="714"/>
      <c r="I100" s="172"/>
    </row>
    <row r="101" spans="1:9" ht="16.5" hidden="1" thickBot="1">
      <c r="A101" s="735"/>
      <c r="B101" s="736">
        <v>55</v>
      </c>
      <c r="C101" s="737" t="s">
        <v>527</v>
      </c>
      <c r="D101" s="702">
        <v>0</v>
      </c>
      <c r="E101" s="719"/>
      <c r="F101" s="720"/>
      <c r="G101" s="725"/>
      <c r="H101" s="714"/>
      <c r="I101" s="172"/>
    </row>
    <row r="102" spans="1:9" ht="16.5" hidden="1" thickBot="1">
      <c r="A102" s="735"/>
      <c r="B102" s="736">
        <v>55</v>
      </c>
      <c r="C102" s="737" t="s">
        <v>859</v>
      </c>
      <c r="D102" s="702"/>
      <c r="E102" s="719"/>
      <c r="F102" s="720"/>
      <c r="G102" s="725"/>
      <c r="H102" s="714"/>
      <c r="I102" s="172"/>
    </row>
    <row r="103" spans="1:9" ht="16.5" hidden="1" thickBot="1">
      <c r="A103" s="735"/>
      <c r="B103" s="736"/>
      <c r="C103" s="737" t="s">
        <v>860</v>
      </c>
      <c r="D103" s="702"/>
      <c r="E103" s="719"/>
      <c r="F103" s="720"/>
      <c r="G103" s="725"/>
      <c r="H103" s="714"/>
      <c r="I103" s="172"/>
    </row>
    <row r="104" spans="1:9" ht="16.5" hidden="1" thickBot="1">
      <c r="A104" s="735"/>
      <c r="B104" s="736"/>
      <c r="C104" s="738" t="s">
        <v>861</v>
      </c>
      <c r="D104" s="739">
        <v>0</v>
      </c>
      <c r="E104" s="719"/>
      <c r="F104" s="720"/>
      <c r="G104" s="725"/>
      <c r="H104" s="714"/>
      <c r="I104" s="172"/>
    </row>
    <row r="105" spans="1:9" ht="16.5" hidden="1" thickBot="1">
      <c r="A105" s="735"/>
      <c r="B105" s="736"/>
      <c r="C105" s="738" t="s">
        <v>862</v>
      </c>
      <c r="D105" s="739"/>
      <c r="E105" s="719"/>
      <c r="F105" s="720"/>
      <c r="G105" s="725"/>
      <c r="H105" s="714"/>
      <c r="I105" s="172"/>
    </row>
    <row r="106" spans="1:9" ht="16.5" hidden="1" thickBot="1">
      <c r="A106" s="735"/>
      <c r="B106" s="736"/>
      <c r="C106" s="738" t="s">
        <v>863</v>
      </c>
      <c r="D106" s="739">
        <v>0</v>
      </c>
      <c r="E106" s="719"/>
      <c r="F106" s="720"/>
      <c r="G106" s="725"/>
      <c r="H106" s="714"/>
      <c r="I106" s="172"/>
    </row>
    <row r="107" spans="1:9" ht="16.5" hidden="1" thickBot="1">
      <c r="A107" s="735"/>
      <c r="B107" s="736"/>
      <c r="C107" s="738" t="s">
        <v>864</v>
      </c>
      <c r="D107" s="739">
        <v>0</v>
      </c>
      <c r="E107" s="719"/>
      <c r="F107" s="720"/>
      <c r="G107" s="725"/>
      <c r="H107" s="714"/>
      <c r="I107" s="172"/>
    </row>
    <row r="108" spans="1:9" ht="16.5" hidden="1" thickBot="1">
      <c r="A108" s="735"/>
      <c r="B108" s="740"/>
      <c r="C108" s="738" t="s">
        <v>865</v>
      </c>
      <c r="D108" s="739"/>
      <c r="E108" s="719"/>
      <c r="F108" s="720"/>
      <c r="G108" s="725"/>
      <c r="H108" s="714"/>
      <c r="I108" s="172"/>
    </row>
    <row r="109" spans="1:9" ht="16.5" hidden="1" thickBot="1">
      <c r="A109" s="735"/>
      <c r="B109" s="740">
        <v>55</v>
      </c>
      <c r="C109" s="737" t="s">
        <v>866</v>
      </c>
      <c r="D109" s="702"/>
      <c r="E109" s="719"/>
      <c r="F109" s="720"/>
      <c r="G109" s="725"/>
      <c r="H109" s="714"/>
      <c r="I109" s="172"/>
    </row>
    <row r="110" spans="1:9" ht="15.75">
      <c r="A110" s="741" t="s">
        <v>540</v>
      </c>
      <c r="B110" s="742"/>
      <c r="C110" s="743" t="s">
        <v>867</v>
      </c>
      <c r="D110" s="744">
        <f>D117+D126+D130+D141+D149+D151+D89+D128+D156</f>
        <v>101667</v>
      </c>
      <c r="E110" s="719"/>
      <c r="F110" s="591">
        <f>D110-E110</f>
        <v>101667</v>
      </c>
      <c r="G110" s="591">
        <f>D89+D126+D141+D149+D151+D156</f>
        <v>88224</v>
      </c>
      <c r="H110" s="172"/>
      <c r="I110" s="745"/>
    </row>
    <row r="111" spans="1:9" ht="15.75">
      <c r="A111" s="746"/>
      <c r="B111" s="736"/>
      <c r="C111" s="747"/>
      <c r="D111" s="747"/>
      <c r="E111" s="719"/>
      <c r="F111" s="591"/>
      <c r="G111" s="591">
        <f>D89+D126+D141+D149+D151+D156</f>
        <v>88224</v>
      </c>
      <c r="H111" s="172"/>
      <c r="I111" s="172"/>
    </row>
    <row r="112" spans="1:9" ht="15.75">
      <c r="A112" s="746">
        <v>8103</v>
      </c>
      <c r="B112" s="736"/>
      <c r="C112" s="747" t="s">
        <v>868</v>
      </c>
      <c r="D112" s="747"/>
      <c r="E112" s="719"/>
      <c r="F112" s="591"/>
      <c r="G112" s="172"/>
      <c r="H112" s="172"/>
      <c r="I112" s="172"/>
    </row>
    <row r="113" spans="1:6" ht="15.75">
      <c r="A113" s="746"/>
      <c r="B113" s="740">
        <v>55</v>
      </c>
      <c r="C113" s="702" t="s">
        <v>551</v>
      </c>
      <c r="D113" s="748">
        <f>4833+3000</f>
        <v>7833</v>
      </c>
      <c r="E113" s="719"/>
      <c r="F113" s="591"/>
    </row>
    <row r="114" spans="1:6" ht="15.75">
      <c r="A114" s="749"/>
      <c r="B114" s="750">
        <v>6</v>
      </c>
      <c r="C114" s="751" t="s">
        <v>829</v>
      </c>
      <c r="D114" s="752"/>
      <c r="E114" s="719"/>
      <c r="F114" s="591"/>
    </row>
    <row r="115" spans="1:6" ht="15.75">
      <c r="A115" s="749"/>
      <c r="B115" s="624">
        <v>15</v>
      </c>
      <c r="C115" s="702" t="s">
        <v>836</v>
      </c>
      <c r="D115" s="748">
        <f>2640+2320</f>
        <v>4960</v>
      </c>
      <c r="E115" s="719"/>
      <c r="F115" s="591"/>
    </row>
    <row r="116" spans="1:6" ht="16.5" thickBot="1">
      <c r="A116" s="749"/>
      <c r="B116" s="753"/>
      <c r="C116" s="754" t="s">
        <v>837</v>
      </c>
      <c r="D116" s="755"/>
      <c r="E116" s="719"/>
      <c r="F116" s="591"/>
    </row>
    <row r="117" spans="1:6" ht="16.5" thickBot="1">
      <c r="A117" s="637"/>
      <c r="B117" s="756"/>
      <c r="C117" s="757" t="s">
        <v>830</v>
      </c>
      <c r="D117" s="758">
        <f>SUM(D113:D116)</f>
        <v>12793</v>
      </c>
      <c r="E117" s="623"/>
      <c r="F117" s="172"/>
    </row>
    <row r="118" spans="1:6" ht="15.75">
      <c r="A118" s="641"/>
      <c r="B118" s="647"/>
      <c r="C118" s="759"/>
      <c r="D118" s="648"/>
      <c r="E118" s="623"/>
      <c r="F118" s="172"/>
    </row>
    <row r="119" spans="1:6" ht="15.75">
      <c r="A119" s="628" t="s">
        <v>558</v>
      </c>
      <c r="B119" s="625"/>
      <c r="C119" s="760" t="s">
        <v>869</v>
      </c>
      <c r="D119" s="761"/>
      <c r="E119" s="623"/>
      <c r="F119" s="172"/>
    </row>
    <row r="120" spans="1:6" ht="15.75">
      <c r="A120" s="628"/>
      <c r="B120" s="625"/>
      <c r="C120" s="762"/>
      <c r="D120" s="761"/>
      <c r="E120" s="623"/>
      <c r="F120" s="172"/>
    </row>
    <row r="121" spans="1:6" ht="15.75">
      <c r="A121" s="633"/>
      <c r="B121" s="625">
        <v>50</v>
      </c>
      <c r="C121" s="763" t="s">
        <v>828</v>
      </c>
      <c r="D121" s="764">
        <v>7200</v>
      </c>
      <c r="E121" s="623"/>
      <c r="F121" s="172"/>
    </row>
    <row r="122" spans="1:6" ht="16.5" thickBot="1">
      <c r="A122" s="765"/>
      <c r="B122" s="740">
        <v>55</v>
      </c>
      <c r="C122" s="766" t="s">
        <v>551</v>
      </c>
      <c r="D122" s="764">
        <v>-1400</v>
      </c>
      <c r="E122" s="623"/>
      <c r="F122" s="172"/>
    </row>
    <row r="123" spans="1:6" ht="16.5" hidden="1" thickBot="1">
      <c r="A123" s="765"/>
      <c r="B123" s="740">
        <v>4</v>
      </c>
      <c r="C123" s="766" t="s">
        <v>870</v>
      </c>
      <c r="D123" s="764"/>
      <c r="E123" s="623"/>
      <c r="F123" s="172"/>
    </row>
    <row r="124" spans="1:6" ht="16.5" hidden="1" thickBot="1">
      <c r="A124" s="765"/>
      <c r="B124" s="740">
        <v>6</v>
      </c>
      <c r="C124" s="766" t="s">
        <v>829</v>
      </c>
      <c r="D124" s="764"/>
      <c r="E124" s="623"/>
      <c r="F124" s="591"/>
    </row>
    <row r="125" spans="1:6" ht="16.5" hidden="1" thickBot="1">
      <c r="A125" s="635"/>
      <c r="B125" s="612">
        <v>15</v>
      </c>
      <c r="C125" s="767" t="s">
        <v>856</v>
      </c>
      <c r="D125" s="768"/>
      <c r="E125" s="623"/>
      <c r="F125" s="172"/>
    </row>
    <row r="126" spans="1:6" ht="16.5" thickBot="1">
      <c r="A126" s="637"/>
      <c r="B126" s="617"/>
      <c r="C126" s="639" t="s">
        <v>830</v>
      </c>
      <c r="D126" s="640">
        <f>SUM(D121:D125)</f>
        <v>5800</v>
      </c>
      <c r="E126" s="623"/>
      <c r="F126" s="172"/>
    </row>
    <row r="127" spans="1:6" ht="16.5" thickBot="1">
      <c r="A127" s="769"/>
      <c r="B127" s="612"/>
      <c r="C127" s="697"/>
      <c r="D127" s="770"/>
      <c r="E127" s="623"/>
      <c r="F127" s="172"/>
    </row>
    <row r="128" spans="1:6" ht="16.5" thickBot="1">
      <c r="A128" s="637" t="s">
        <v>562</v>
      </c>
      <c r="B128" s="704"/>
      <c r="C128" s="639" t="s">
        <v>871</v>
      </c>
      <c r="D128" s="640">
        <v>650</v>
      </c>
      <c r="E128" s="623"/>
      <c r="F128" s="172"/>
    </row>
    <row r="129" spans="1:5" ht="15.75">
      <c r="A129" s="1597"/>
      <c r="B129" s="785"/>
      <c r="C129" s="697"/>
      <c r="D129" s="648"/>
      <c r="E129" s="623"/>
    </row>
    <row r="130" spans="1:5" ht="16.5" hidden="1" thickBot="1">
      <c r="A130" s="666" t="s">
        <v>566</v>
      </c>
      <c r="B130" s="771">
        <v>4</v>
      </c>
      <c r="C130" s="772" t="s">
        <v>872</v>
      </c>
      <c r="D130" s="658">
        <f>SUM(D132:D133)</f>
        <v>0</v>
      </c>
      <c r="E130" s="623"/>
    </row>
    <row r="131" spans="1:5" ht="15.75" hidden="1">
      <c r="A131" s="773"/>
      <c r="B131" s="774"/>
      <c r="C131" s="775"/>
      <c r="D131" s="698"/>
      <c r="E131" s="623"/>
    </row>
    <row r="132" spans="1:5" ht="15.75" hidden="1">
      <c r="A132" s="776"/>
      <c r="B132" s="777">
        <v>4</v>
      </c>
      <c r="C132" s="589" t="s">
        <v>870</v>
      </c>
      <c r="D132" s="901">
        <v>0</v>
      </c>
      <c r="E132" s="623"/>
    </row>
    <row r="133" spans="1:5" ht="15.75" hidden="1">
      <c r="A133" s="629"/>
      <c r="B133" s="777">
        <v>55</v>
      </c>
      <c r="C133" s="589" t="s">
        <v>551</v>
      </c>
      <c r="D133" s="631">
        <v>0</v>
      </c>
      <c r="E133" s="623"/>
    </row>
    <row r="134" spans="1:5" ht="15.75" hidden="1">
      <c r="A134" s="642"/>
      <c r="B134" s="779"/>
      <c r="C134" s="643"/>
      <c r="D134" s="812"/>
      <c r="E134" s="623"/>
    </row>
    <row r="135" spans="1:5" ht="15.75">
      <c r="A135" s="629" t="s">
        <v>570</v>
      </c>
      <c r="B135" s="777"/>
      <c r="C135" s="630" t="s">
        <v>873</v>
      </c>
      <c r="D135" s="649"/>
      <c r="E135" s="623"/>
    </row>
    <row r="136" spans="1:5" ht="15.75">
      <c r="A136" s="629"/>
      <c r="B136" s="781"/>
      <c r="C136" s="632"/>
      <c r="D136" s="649"/>
      <c r="E136" s="623"/>
    </row>
    <row r="137" spans="1:5" ht="15.75">
      <c r="A137" s="629"/>
      <c r="B137" s="777">
        <v>50</v>
      </c>
      <c r="C137" s="589" t="s">
        <v>828</v>
      </c>
      <c r="D137" s="631">
        <v>0</v>
      </c>
      <c r="E137" s="623"/>
    </row>
    <row r="138" spans="1:5" ht="19.5" customHeight="1">
      <c r="A138" s="629"/>
      <c r="B138" s="777">
        <v>55</v>
      </c>
      <c r="C138" s="589" t="s">
        <v>551</v>
      </c>
      <c r="D138" s="631">
        <v>199</v>
      </c>
      <c r="E138" s="623"/>
    </row>
    <row r="139" spans="1:5" ht="15.75">
      <c r="A139" s="629"/>
      <c r="B139" s="777">
        <v>6</v>
      </c>
      <c r="C139" s="589" t="s">
        <v>829</v>
      </c>
      <c r="D139" s="631">
        <v>1</v>
      </c>
      <c r="E139" s="623"/>
    </row>
    <row r="140" spans="1:5" ht="16.5" thickBot="1">
      <c r="A140" s="784"/>
      <c r="B140" s="1598">
        <v>15</v>
      </c>
      <c r="C140" s="699" t="s">
        <v>952</v>
      </c>
      <c r="D140" s="1596">
        <v>2400</v>
      </c>
      <c r="E140" s="623"/>
    </row>
    <row r="141" spans="1:5" ht="16.5" thickBot="1">
      <c r="A141" s="637"/>
      <c r="B141" s="784"/>
      <c r="C141" s="639" t="s">
        <v>830</v>
      </c>
      <c r="D141" s="640">
        <f>SUM(D137:D140)</f>
        <v>2600</v>
      </c>
      <c r="E141" s="623"/>
    </row>
    <row r="142" spans="1:5" ht="15.75">
      <c r="A142" s="628"/>
      <c r="B142" s="629"/>
      <c r="C142" s="589"/>
      <c r="D142" s="649"/>
      <c r="E142" s="623"/>
    </row>
    <row r="143" spans="1:5" ht="15.75">
      <c r="A143" s="628" t="s">
        <v>572</v>
      </c>
      <c r="B143" s="629"/>
      <c r="C143" s="630" t="s">
        <v>874</v>
      </c>
      <c r="D143" s="649"/>
      <c r="E143" s="623"/>
    </row>
    <row r="144" spans="1:5" ht="15.75">
      <c r="A144" s="628"/>
      <c r="B144" s="629"/>
      <c r="C144" s="632"/>
      <c r="D144" s="649"/>
      <c r="E144" s="623"/>
    </row>
    <row r="145" spans="1:5" ht="15.75">
      <c r="A145" s="633"/>
      <c r="B145" s="625">
        <v>50</v>
      </c>
      <c r="C145" s="589" t="s">
        <v>828</v>
      </c>
      <c r="D145" s="631">
        <v>1620</v>
      </c>
      <c r="E145" s="623"/>
    </row>
    <row r="146" spans="1:9" ht="16.5" thickBot="1">
      <c r="A146" s="628"/>
      <c r="B146" s="651">
        <v>55</v>
      </c>
      <c r="C146" s="589" t="s">
        <v>551</v>
      </c>
      <c r="D146" s="631">
        <v>2104</v>
      </c>
      <c r="E146" s="623"/>
      <c r="F146" s="172"/>
      <c r="G146" s="172"/>
      <c r="H146" s="172"/>
      <c r="I146" s="172"/>
    </row>
    <row r="147" spans="1:9" ht="16.5" hidden="1" thickBot="1">
      <c r="A147" s="635"/>
      <c r="B147" s="612">
        <v>4</v>
      </c>
      <c r="C147" s="636" t="s">
        <v>870</v>
      </c>
      <c r="D147" s="613"/>
      <c r="E147" s="623"/>
      <c r="F147" s="172"/>
      <c r="G147" s="172"/>
      <c r="H147" s="172"/>
      <c r="I147" s="172"/>
    </row>
    <row r="148" spans="1:9" ht="16.5" hidden="1" thickBot="1">
      <c r="A148" s="635"/>
      <c r="B148" s="612">
        <v>45</v>
      </c>
      <c r="C148" s="636" t="s">
        <v>875</v>
      </c>
      <c r="D148" s="613" t="s">
        <v>220</v>
      </c>
      <c r="E148" s="623"/>
      <c r="F148" s="172"/>
      <c r="G148" s="172"/>
      <c r="H148" s="172"/>
      <c r="I148" s="172"/>
    </row>
    <row r="149" spans="1:9" ht="16.5" thickBot="1">
      <c r="A149" s="637"/>
      <c r="B149" s="638"/>
      <c r="C149" s="639" t="s">
        <v>830</v>
      </c>
      <c r="D149" s="640">
        <f>SUM(D145:D148)</f>
        <v>3724</v>
      </c>
      <c r="E149" s="623"/>
      <c r="F149" s="172"/>
      <c r="G149" s="172"/>
      <c r="H149" s="172"/>
      <c r="I149" s="172"/>
    </row>
    <row r="150" spans="1:9" ht="16.5" thickBot="1">
      <c r="A150" s="641"/>
      <c r="B150" s="642"/>
      <c r="C150" s="643"/>
      <c r="D150" s="786"/>
      <c r="E150" s="623"/>
      <c r="F150" s="172"/>
      <c r="G150" s="172"/>
      <c r="H150" s="172"/>
      <c r="I150" s="172"/>
    </row>
    <row r="151" spans="1:9" ht="16.5" thickBot="1">
      <c r="A151" s="638" t="s">
        <v>588</v>
      </c>
      <c r="B151" s="787">
        <v>4</v>
      </c>
      <c r="C151" s="756" t="s">
        <v>876</v>
      </c>
      <c r="D151" s="772">
        <f>D153+D154</f>
        <v>50000</v>
      </c>
      <c r="E151" s="623"/>
      <c r="F151" s="172"/>
      <c r="G151" s="172"/>
      <c r="H151" s="172"/>
      <c r="I151" s="172"/>
    </row>
    <row r="152" spans="1:9" ht="15.75">
      <c r="A152" s="642"/>
      <c r="B152" s="788"/>
      <c r="C152" s="789"/>
      <c r="D152" s="790"/>
      <c r="E152" s="623"/>
      <c r="F152" s="172"/>
      <c r="G152" s="172"/>
      <c r="H152" s="172"/>
      <c r="I152" s="172"/>
    </row>
    <row r="153" spans="1:9" ht="15.75">
      <c r="A153" s="629"/>
      <c r="B153" s="791">
        <v>55</v>
      </c>
      <c r="C153" s="766" t="s">
        <v>551</v>
      </c>
      <c r="D153" s="764">
        <v>81347</v>
      </c>
      <c r="E153" s="623"/>
      <c r="F153" s="172"/>
      <c r="G153" s="172"/>
      <c r="H153" s="172"/>
      <c r="I153" s="172"/>
    </row>
    <row r="154" spans="1:9" ht="15.75">
      <c r="A154" s="629"/>
      <c r="B154" s="791">
        <v>4</v>
      </c>
      <c r="C154" s="766" t="s">
        <v>870</v>
      </c>
      <c r="D154" s="764">
        <v>-31347</v>
      </c>
      <c r="E154" s="623"/>
      <c r="F154" s="172"/>
      <c r="G154" s="172"/>
      <c r="H154" s="172"/>
      <c r="I154" s="172"/>
    </row>
    <row r="155" spans="1:9" ht="16.5" thickBot="1">
      <c r="A155" s="655"/>
      <c r="B155" s="792"/>
      <c r="C155" s="793"/>
      <c r="D155" s="794"/>
      <c r="E155" s="623"/>
      <c r="F155" s="172"/>
      <c r="G155" s="172"/>
      <c r="H155" s="172"/>
      <c r="I155" s="172"/>
    </row>
    <row r="156" spans="1:9" ht="16.5" thickBot="1">
      <c r="A156" s="637" t="s">
        <v>590</v>
      </c>
      <c r="B156" s="617">
        <v>4</v>
      </c>
      <c r="C156" s="639" t="s">
        <v>877</v>
      </c>
      <c r="D156" s="658">
        <v>26100</v>
      </c>
      <c r="E156" s="623"/>
      <c r="F156" s="172"/>
      <c r="G156" s="172"/>
      <c r="H156" s="172"/>
      <c r="I156" s="172"/>
    </row>
    <row r="157" spans="1:9" ht="15.75">
      <c r="A157" s="628"/>
      <c r="B157" s="629"/>
      <c r="C157" s="589"/>
      <c r="D157" s="795"/>
      <c r="E157" s="591"/>
      <c r="F157" s="172"/>
      <c r="G157" s="172"/>
      <c r="H157" s="172"/>
      <c r="I157" s="172"/>
    </row>
    <row r="158" spans="1:9" ht="15.75">
      <c r="A158" s="683" t="s">
        <v>600</v>
      </c>
      <c r="B158" s="684"/>
      <c r="C158" s="685" t="s">
        <v>601</v>
      </c>
      <c r="D158" s="796">
        <f>D187+D171+D208+D210+D199</f>
        <v>101661</v>
      </c>
      <c r="E158" s="623"/>
      <c r="F158" s="623">
        <f>D158-E158</f>
        <v>101661</v>
      </c>
      <c r="G158" s="591"/>
      <c r="H158" s="172"/>
      <c r="I158" s="681"/>
    </row>
    <row r="159" spans="1:9" ht="15.75">
      <c r="A159" s="628"/>
      <c r="B159" s="629"/>
      <c r="C159" s="694"/>
      <c r="D159" s="761"/>
      <c r="E159" s="591"/>
      <c r="F159" s="172"/>
      <c r="G159" s="172"/>
      <c r="H159" s="172"/>
      <c r="I159" s="172"/>
    </row>
    <row r="160" spans="1:9" ht="15.75">
      <c r="A160" s="628" t="s">
        <v>602</v>
      </c>
      <c r="B160" s="629"/>
      <c r="C160" s="694" t="s">
        <v>878</v>
      </c>
      <c r="D160" s="761"/>
      <c r="E160" s="591"/>
      <c r="F160" s="172"/>
      <c r="G160" s="172"/>
      <c r="H160" s="172"/>
      <c r="I160" s="172"/>
    </row>
    <row r="161" spans="1:9" ht="15.75">
      <c r="A161" s="628"/>
      <c r="B161" s="629"/>
      <c r="C161" s="694"/>
      <c r="D161" s="761"/>
      <c r="E161" s="797" t="s">
        <v>879</v>
      </c>
      <c r="F161" s="798" t="s">
        <v>880</v>
      </c>
      <c r="G161" s="798" t="s">
        <v>881</v>
      </c>
      <c r="H161" s="799" t="s">
        <v>333</v>
      </c>
      <c r="I161" s="172"/>
    </row>
    <row r="162" spans="1:8" ht="15.75">
      <c r="A162" s="628"/>
      <c r="B162" s="634">
        <v>50</v>
      </c>
      <c r="C162" s="800" t="s">
        <v>828</v>
      </c>
      <c r="D162" s="764">
        <f>H162</f>
        <v>24627</v>
      </c>
      <c r="E162" s="801">
        <v>7490</v>
      </c>
      <c r="F162" s="801">
        <v>6576</v>
      </c>
      <c r="G162" s="801">
        <v>10561</v>
      </c>
      <c r="H162" s="802">
        <f>E162+F162+G162</f>
        <v>24627</v>
      </c>
    </row>
    <row r="163" spans="1:8" ht="15.75">
      <c r="A163" s="628"/>
      <c r="B163" s="634">
        <v>55</v>
      </c>
      <c r="C163" s="695" t="s">
        <v>551</v>
      </c>
      <c r="D163" s="764">
        <f>H163</f>
        <v>55458</v>
      </c>
      <c r="E163" s="801">
        <v>-310</v>
      </c>
      <c r="F163" s="801">
        <v>36097</v>
      </c>
      <c r="G163" s="801">
        <v>19671</v>
      </c>
      <c r="H163" s="802">
        <f aca="true" t="shared" si="0" ref="H163:H170">E163+F163+G163</f>
        <v>55458</v>
      </c>
    </row>
    <row r="164" spans="1:8" ht="15.75">
      <c r="A164" s="628"/>
      <c r="B164" s="634"/>
      <c r="C164" s="589" t="s">
        <v>611</v>
      </c>
      <c r="D164" s="764">
        <v>-4000</v>
      </c>
      <c r="E164" s="801"/>
      <c r="F164" s="801"/>
      <c r="G164" s="801"/>
      <c r="H164" s="802"/>
    </row>
    <row r="165" spans="1:8" ht="15.75" hidden="1">
      <c r="A165" s="628"/>
      <c r="B165" s="634">
        <v>55</v>
      </c>
      <c r="C165" s="695" t="s">
        <v>882</v>
      </c>
      <c r="D165" s="764"/>
      <c r="E165" s="801"/>
      <c r="F165" s="801"/>
      <c r="G165" s="801"/>
      <c r="H165" s="802">
        <f t="shared" si="0"/>
        <v>0</v>
      </c>
    </row>
    <row r="166" spans="1:8" ht="15.75" hidden="1">
      <c r="A166" s="650"/>
      <c r="B166" s="634"/>
      <c r="C166" s="695" t="s">
        <v>883</v>
      </c>
      <c r="D166" s="764">
        <v>0</v>
      </c>
      <c r="E166" s="801"/>
      <c r="F166" s="801"/>
      <c r="G166" s="801"/>
      <c r="H166" s="802">
        <f t="shared" si="0"/>
        <v>0</v>
      </c>
    </row>
    <row r="167" spans="1:8" ht="15.75">
      <c r="A167" s="650"/>
      <c r="B167" s="612">
        <v>6</v>
      </c>
      <c r="C167" s="636" t="s">
        <v>829</v>
      </c>
      <c r="D167" s="764">
        <f>H167</f>
        <v>15</v>
      </c>
      <c r="E167" s="801"/>
      <c r="F167" s="801"/>
      <c r="G167" s="801">
        <v>15</v>
      </c>
      <c r="H167" s="802">
        <f t="shared" si="0"/>
        <v>15</v>
      </c>
    </row>
    <row r="168" spans="1:8" ht="16.5" thickBot="1">
      <c r="A168" s="650"/>
      <c r="B168" s="625">
        <v>15</v>
      </c>
      <c r="C168" s="589" t="s">
        <v>836</v>
      </c>
      <c r="D168" s="764">
        <f>H168</f>
        <v>36451</v>
      </c>
      <c r="E168" s="801">
        <v>44861</v>
      </c>
      <c r="F168" s="801">
        <v>3286</v>
      </c>
      <c r="G168" s="801">
        <v>-11696</v>
      </c>
      <c r="H168" s="802">
        <f t="shared" si="0"/>
        <v>36451</v>
      </c>
    </row>
    <row r="169" spans="1:8" ht="16.5" hidden="1" thickBot="1">
      <c r="A169" s="635"/>
      <c r="B169" s="651"/>
      <c r="C169" s="652" t="s">
        <v>837</v>
      </c>
      <c r="D169" s="764"/>
      <c r="E169" s="801"/>
      <c r="F169" s="801"/>
      <c r="G169" s="801"/>
      <c r="H169" s="802">
        <f t="shared" si="0"/>
        <v>0</v>
      </c>
    </row>
    <row r="170" spans="1:8" ht="16.5" hidden="1" thickBot="1">
      <c r="A170" s="635"/>
      <c r="B170" s="612" t="s">
        <v>760</v>
      </c>
      <c r="C170" s="636" t="s">
        <v>884</v>
      </c>
      <c r="D170" s="764">
        <f>H170</f>
        <v>0</v>
      </c>
      <c r="E170" s="801"/>
      <c r="F170" s="801"/>
      <c r="G170" s="801"/>
      <c r="H170" s="802">
        <f t="shared" si="0"/>
        <v>0</v>
      </c>
    </row>
    <row r="171" spans="1:8" ht="16.5" thickBot="1">
      <c r="A171" s="637"/>
      <c r="B171" s="638"/>
      <c r="C171" s="639" t="s">
        <v>830</v>
      </c>
      <c r="D171" s="639">
        <f>SUM(D162:D168)</f>
        <v>112551</v>
      </c>
      <c r="E171" s="803">
        <f>SUM(E162:E168)</f>
        <v>52041</v>
      </c>
      <c r="F171" s="803">
        <f>SUM(F162:F170)</f>
        <v>45959</v>
      </c>
      <c r="G171" s="803">
        <f>SUM(G162:G168)</f>
        <v>18551</v>
      </c>
      <c r="H171" s="804">
        <f>SUM(H162:H168)</f>
        <v>116551</v>
      </c>
    </row>
    <row r="172" spans="1:8" ht="15.75">
      <c r="A172" s="805"/>
      <c r="B172" s="806"/>
      <c r="C172" s="1599"/>
      <c r="D172" s="807"/>
      <c r="E172" s="808"/>
      <c r="F172" s="809"/>
      <c r="G172" s="808"/>
      <c r="H172" s="810"/>
    </row>
    <row r="173" spans="1:8" ht="15.75">
      <c r="A173" s="628" t="s">
        <v>614</v>
      </c>
      <c r="B173" s="629"/>
      <c r="C173" s="811" t="s">
        <v>885</v>
      </c>
      <c r="D173" s="812"/>
      <c r="E173" s="591"/>
      <c r="F173" s="172"/>
      <c r="G173" s="172"/>
      <c r="H173" s="172"/>
    </row>
    <row r="174" spans="1:8" ht="15.75">
      <c r="A174" s="628"/>
      <c r="B174" s="634"/>
      <c r="C174" s="589"/>
      <c r="D174" s="649"/>
      <c r="E174" s="813" t="s">
        <v>886</v>
      </c>
      <c r="F174" s="814" t="s">
        <v>887</v>
      </c>
      <c r="G174" s="814" t="s">
        <v>888</v>
      </c>
      <c r="H174" s="814" t="s">
        <v>333</v>
      </c>
    </row>
    <row r="175" spans="1:8" ht="15.75">
      <c r="A175" s="628"/>
      <c r="B175" s="634">
        <v>50</v>
      </c>
      <c r="C175" s="589" t="s">
        <v>828</v>
      </c>
      <c r="D175" s="631">
        <f>H175</f>
        <v>5288</v>
      </c>
      <c r="E175" s="815">
        <v>0</v>
      </c>
      <c r="F175" s="816">
        <v>1620</v>
      </c>
      <c r="G175" s="816">
        <v>3668</v>
      </c>
      <c r="H175" s="816">
        <f>E175+F175+G175</f>
        <v>5288</v>
      </c>
    </row>
    <row r="176" spans="1:8" ht="15.75">
      <c r="A176" s="628"/>
      <c r="B176" s="634">
        <v>55</v>
      </c>
      <c r="C176" s="589" t="s">
        <v>551</v>
      </c>
      <c r="D176" s="631">
        <f>H176</f>
        <v>31031</v>
      </c>
      <c r="E176" s="815">
        <v>-9695</v>
      </c>
      <c r="F176" s="816">
        <v>6153</v>
      </c>
      <c r="G176" s="816">
        <v>34573</v>
      </c>
      <c r="H176" s="816">
        <f aca="true" t="shared" si="1" ref="H176:H187">E176+F176+G176</f>
        <v>31031</v>
      </c>
    </row>
    <row r="177" spans="1:8" ht="15.75" hidden="1">
      <c r="A177" s="628"/>
      <c r="B177" s="634">
        <v>41</v>
      </c>
      <c r="C177" s="589" t="s">
        <v>889</v>
      </c>
      <c r="D177" s="631">
        <f>H177</f>
        <v>0</v>
      </c>
      <c r="E177" s="815">
        <v>0</v>
      </c>
      <c r="F177" s="816">
        <v>0</v>
      </c>
      <c r="G177" s="816">
        <v>0</v>
      </c>
      <c r="H177" s="816">
        <f t="shared" si="1"/>
        <v>0</v>
      </c>
    </row>
    <row r="178" spans="1:8" ht="15.75" hidden="1">
      <c r="A178" s="628"/>
      <c r="B178" s="634">
        <v>41</v>
      </c>
      <c r="C178" s="589" t="s">
        <v>890</v>
      </c>
      <c r="D178" s="631"/>
      <c r="E178" s="815"/>
      <c r="F178" s="816"/>
      <c r="G178" s="816"/>
      <c r="H178" s="816">
        <f t="shared" si="1"/>
        <v>0</v>
      </c>
    </row>
    <row r="179" spans="1:8" ht="15.75">
      <c r="A179" s="628"/>
      <c r="B179" s="634">
        <v>55</v>
      </c>
      <c r="C179" s="695" t="s">
        <v>882</v>
      </c>
      <c r="D179" s="631">
        <v>0</v>
      </c>
      <c r="E179" s="815"/>
      <c r="F179" s="816"/>
      <c r="G179" s="816"/>
      <c r="H179" s="816">
        <f t="shared" si="1"/>
        <v>0</v>
      </c>
    </row>
    <row r="180" spans="1:8" ht="15.75">
      <c r="A180" s="628"/>
      <c r="B180" s="634"/>
      <c r="C180" s="695" t="s">
        <v>883</v>
      </c>
      <c r="D180" s="631">
        <v>-50000</v>
      </c>
      <c r="E180" s="815"/>
      <c r="F180" s="816"/>
      <c r="G180" s="816"/>
      <c r="H180" s="816">
        <f t="shared" si="1"/>
        <v>0</v>
      </c>
    </row>
    <row r="181" spans="1:8" ht="15.75">
      <c r="A181" s="628"/>
      <c r="B181" s="625">
        <v>4</v>
      </c>
      <c r="C181" s="589" t="s">
        <v>870</v>
      </c>
      <c r="D181" s="631">
        <f>H181</f>
        <v>0</v>
      </c>
      <c r="E181" s="815"/>
      <c r="F181" s="816"/>
      <c r="G181" s="816"/>
      <c r="H181" s="816">
        <f t="shared" si="1"/>
        <v>0</v>
      </c>
    </row>
    <row r="182" spans="1:8" ht="15.75">
      <c r="A182" s="650"/>
      <c r="B182" s="612">
        <v>6</v>
      </c>
      <c r="C182" s="636" t="s">
        <v>829</v>
      </c>
      <c r="D182" s="631">
        <f>H182</f>
        <v>29</v>
      </c>
      <c r="E182" s="815">
        <v>5</v>
      </c>
      <c r="F182" s="816">
        <v>24</v>
      </c>
      <c r="G182" s="816"/>
      <c r="H182" s="816">
        <f t="shared" si="1"/>
        <v>29</v>
      </c>
    </row>
    <row r="183" spans="1:8" ht="15.75">
      <c r="A183" s="650"/>
      <c r="B183" s="678">
        <v>208</v>
      </c>
      <c r="C183" s="817" t="s">
        <v>891</v>
      </c>
      <c r="D183" s="631">
        <f>H183</f>
        <v>1800</v>
      </c>
      <c r="E183" s="815">
        <v>0</v>
      </c>
      <c r="F183" s="816">
        <v>1800</v>
      </c>
      <c r="G183" s="816"/>
      <c r="H183" s="816">
        <f t="shared" si="1"/>
        <v>1800</v>
      </c>
    </row>
    <row r="184" spans="1:8" ht="15.75">
      <c r="A184" s="628"/>
      <c r="B184" s="634">
        <v>65</v>
      </c>
      <c r="C184" s="695" t="s">
        <v>892</v>
      </c>
      <c r="D184" s="631"/>
      <c r="E184" s="815"/>
      <c r="F184" s="816"/>
      <c r="G184" s="816"/>
      <c r="H184" s="816">
        <f t="shared" si="1"/>
        <v>0</v>
      </c>
    </row>
    <row r="185" spans="1:8" ht="15.75">
      <c r="A185" s="628"/>
      <c r="B185" s="634">
        <v>15</v>
      </c>
      <c r="C185" s="589" t="s">
        <v>833</v>
      </c>
      <c r="D185" s="631">
        <f>H185</f>
        <v>761</v>
      </c>
      <c r="E185" s="815">
        <v>14909</v>
      </c>
      <c r="F185" s="816">
        <v>-1082</v>
      </c>
      <c r="G185" s="816">
        <v>-13066</v>
      </c>
      <c r="H185" s="816">
        <f t="shared" si="1"/>
        <v>761</v>
      </c>
    </row>
    <row r="186" spans="1:8" ht="16.5" thickBot="1">
      <c r="A186" s="818"/>
      <c r="B186" s="819"/>
      <c r="C186" s="699" t="s">
        <v>893</v>
      </c>
      <c r="D186" s="820"/>
      <c r="E186" s="815"/>
      <c r="F186" s="816"/>
      <c r="G186" s="816"/>
      <c r="H186" s="816">
        <f t="shared" si="1"/>
        <v>0</v>
      </c>
    </row>
    <row r="187" spans="1:8" ht="16.5" thickBot="1">
      <c r="A187" s="637"/>
      <c r="B187" s="638"/>
      <c r="C187" s="639" t="s">
        <v>830</v>
      </c>
      <c r="D187" s="640">
        <f>SUM(D175:D185)-1</f>
        <v>-11092</v>
      </c>
      <c r="E187" s="821">
        <f>SUM(E175:E185)</f>
        <v>5219</v>
      </c>
      <c r="F187" s="822">
        <f>SUM(F175:F185)</f>
        <v>8515</v>
      </c>
      <c r="G187" s="822">
        <f>SUM(G175:G185)</f>
        <v>25175</v>
      </c>
      <c r="H187" s="816">
        <f t="shared" si="1"/>
        <v>38909</v>
      </c>
    </row>
    <row r="188" spans="1:8" ht="15.75" hidden="1">
      <c r="A188" s="641"/>
      <c r="B188" s="642"/>
      <c r="C188" s="643"/>
      <c r="D188" s="649"/>
      <c r="E188" s="815"/>
      <c r="F188" s="816"/>
      <c r="G188" s="816"/>
      <c r="H188" s="816"/>
    </row>
    <row r="189" spans="1:8" ht="15.75" hidden="1">
      <c r="A189" s="628" t="s">
        <v>614</v>
      </c>
      <c r="B189" s="629"/>
      <c r="C189" s="811" t="s">
        <v>894</v>
      </c>
      <c r="D189" s="649"/>
      <c r="E189" s="591"/>
      <c r="F189" s="623"/>
      <c r="G189" s="172"/>
      <c r="H189" s="172"/>
    </row>
    <row r="190" spans="1:8" ht="15.75" hidden="1">
      <c r="A190" s="628"/>
      <c r="B190" s="629"/>
      <c r="C190" s="589"/>
      <c r="D190" s="649"/>
      <c r="E190" s="591"/>
      <c r="F190" s="172"/>
      <c r="G190" s="172"/>
      <c r="H190" s="172"/>
    </row>
    <row r="191" spans="1:8" ht="15.75" hidden="1">
      <c r="A191" s="628"/>
      <c r="B191" s="634">
        <v>50</v>
      </c>
      <c r="C191" s="589" t="s">
        <v>828</v>
      </c>
      <c r="D191" s="631"/>
      <c r="E191" s="591"/>
      <c r="F191" s="172"/>
      <c r="G191" s="172"/>
      <c r="H191" s="172"/>
    </row>
    <row r="192" spans="1:8" ht="15.75" hidden="1">
      <c r="A192" s="650"/>
      <c r="B192" s="678">
        <v>55</v>
      </c>
      <c r="C192" s="652" t="s">
        <v>551</v>
      </c>
      <c r="D192" s="653"/>
      <c r="E192" s="591"/>
      <c r="F192" s="172"/>
      <c r="G192" s="172"/>
      <c r="H192" s="172"/>
    </row>
    <row r="193" spans="1:8" ht="16.5" hidden="1" thickBot="1">
      <c r="A193" s="665"/>
      <c r="B193" s="666"/>
      <c r="C193" s="772" t="s">
        <v>830</v>
      </c>
      <c r="D193" s="658">
        <f>SUM(D191:D192)</f>
        <v>0</v>
      </c>
      <c r="E193" s="823"/>
      <c r="F193" s="824"/>
      <c r="G193" s="824"/>
      <c r="H193" s="824"/>
    </row>
    <row r="194" spans="1:9" ht="15.75" hidden="1">
      <c r="A194" s="641"/>
      <c r="B194" s="642"/>
      <c r="C194" s="643"/>
      <c r="D194" s="812"/>
      <c r="E194" s="591"/>
      <c r="F194" s="172"/>
      <c r="G194" s="172"/>
      <c r="H194" s="172"/>
      <c r="I194" s="172"/>
    </row>
    <row r="195" spans="1:9" ht="15.75" hidden="1">
      <c r="A195" s="628" t="s">
        <v>895</v>
      </c>
      <c r="B195" s="629" t="s">
        <v>896</v>
      </c>
      <c r="C195" s="811" t="s">
        <v>897</v>
      </c>
      <c r="D195" s="649"/>
      <c r="E195" s="591"/>
      <c r="F195" s="172"/>
      <c r="G195" s="172"/>
      <c r="H195" s="172"/>
      <c r="I195" s="172"/>
    </row>
    <row r="196" spans="1:9" ht="15.75" hidden="1">
      <c r="A196" s="628"/>
      <c r="B196" s="629"/>
      <c r="C196" s="589"/>
      <c r="D196" s="649"/>
      <c r="E196" s="591"/>
      <c r="F196" s="172"/>
      <c r="G196" s="172"/>
      <c r="H196" s="172"/>
      <c r="I196" s="591"/>
    </row>
    <row r="197" spans="1:9" ht="15.75">
      <c r="A197" s="628" t="s">
        <v>639</v>
      </c>
      <c r="B197" s="629"/>
      <c r="C197" s="811" t="s">
        <v>898</v>
      </c>
      <c r="D197" s="649"/>
      <c r="E197" s="591"/>
      <c r="F197" s="591"/>
      <c r="G197" s="591"/>
      <c r="H197" s="591"/>
      <c r="I197" s="172"/>
    </row>
    <row r="198" spans="1:9" ht="16.5" thickBot="1">
      <c r="A198" s="650"/>
      <c r="B198" s="678">
        <v>50</v>
      </c>
      <c r="C198" s="817" t="s">
        <v>828</v>
      </c>
      <c r="D198" s="631">
        <v>202</v>
      </c>
      <c r="E198" s="591"/>
      <c r="F198" s="172"/>
      <c r="G198" s="591"/>
      <c r="H198" s="591"/>
      <c r="I198" s="172"/>
    </row>
    <row r="199" spans="1:9" ht="16.5" thickBot="1">
      <c r="A199" s="637"/>
      <c r="B199" s="638"/>
      <c r="C199" s="639" t="s">
        <v>830</v>
      </c>
      <c r="D199" s="640">
        <f>SUM(D198:D198)</f>
        <v>202</v>
      </c>
      <c r="E199" s="591"/>
      <c r="F199" s="172"/>
      <c r="G199" s="591"/>
      <c r="H199" s="172"/>
      <c r="I199" s="172"/>
    </row>
    <row r="200" spans="1:9" ht="15.75" hidden="1">
      <c r="A200" s="641"/>
      <c r="B200" s="825"/>
      <c r="C200" s="826"/>
      <c r="D200" s="649"/>
      <c r="E200" s="591"/>
      <c r="F200" s="172"/>
      <c r="G200" s="172"/>
      <c r="H200" s="172"/>
      <c r="I200" s="172"/>
    </row>
    <row r="201" spans="1:9" ht="15.75" hidden="1">
      <c r="A201" s="628" t="s">
        <v>641</v>
      </c>
      <c r="B201" s="629"/>
      <c r="C201" s="811" t="s">
        <v>899</v>
      </c>
      <c r="D201" s="649"/>
      <c r="E201" s="591"/>
      <c r="F201" s="172"/>
      <c r="G201" s="172"/>
      <c r="H201" s="172"/>
      <c r="I201" s="172"/>
    </row>
    <row r="202" spans="1:9" ht="15.75" hidden="1">
      <c r="A202" s="628"/>
      <c r="B202" s="629"/>
      <c r="C202" s="811"/>
      <c r="D202" s="649"/>
      <c r="E202" s="591"/>
      <c r="F202" s="172"/>
      <c r="G202" s="172"/>
      <c r="H202" s="172"/>
      <c r="I202" s="172"/>
    </row>
    <row r="203" spans="1:9" ht="15.75" hidden="1">
      <c r="A203" s="628"/>
      <c r="B203" s="634">
        <v>50</v>
      </c>
      <c r="C203" s="695" t="s">
        <v>828</v>
      </c>
      <c r="D203" s="631"/>
      <c r="E203" s="591"/>
      <c r="F203" s="172"/>
      <c r="G203" s="172"/>
      <c r="H203" s="172"/>
      <c r="I203" s="172"/>
    </row>
    <row r="204" spans="1:9" ht="15.75" hidden="1">
      <c r="A204" s="650"/>
      <c r="B204" s="678">
        <v>55</v>
      </c>
      <c r="C204" s="817" t="s">
        <v>551</v>
      </c>
      <c r="D204" s="631"/>
      <c r="E204" s="591"/>
      <c r="F204" s="172"/>
      <c r="G204" s="172"/>
      <c r="H204" s="172"/>
      <c r="I204" s="172"/>
    </row>
    <row r="205" spans="1:9" ht="15.75" hidden="1">
      <c r="A205" s="635"/>
      <c r="B205" s="612">
        <v>6</v>
      </c>
      <c r="C205" s="636" t="s">
        <v>829</v>
      </c>
      <c r="D205" s="613"/>
      <c r="E205" s="591"/>
      <c r="F205" s="172"/>
      <c r="G205" s="172"/>
      <c r="H205" s="172"/>
      <c r="I205" s="172"/>
    </row>
    <row r="206" spans="1:9" ht="15.75" hidden="1">
      <c r="A206" s="635"/>
      <c r="B206" s="625">
        <v>15</v>
      </c>
      <c r="C206" s="589" t="s">
        <v>836</v>
      </c>
      <c r="D206" s="613"/>
      <c r="E206" s="591"/>
      <c r="F206" s="172"/>
      <c r="G206" s="172"/>
      <c r="H206" s="172"/>
      <c r="I206" s="172"/>
    </row>
    <row r="207" spans="1:9" ht="15.75" hidden="1">
      <c r="A207" s="635"/>
      <c r="B207" s="651"/>
      <c r="C207" s="652" t="s">
        <v>837</v>
      </c>
      <c r="D207" s="613"/>
      <c r="E207" s="591"/>
      <c r="F207" s="172"/>
      <c r="G207" s="172"/>
      <c r="H207" s="172"/>
      <c r="I207" s="172"/>
    </row>
    <row r="208" spans="1:9" ht="16.5" hidden="1" thickBot="1">
      <c r="A208" s="637"/>
      <c r="B208" s="638"/>
      <c r="C208" s="639" t="s">
        <v>830</v>
      </c>
      <c r="D208" s="640">
        <f>SUM(D203:D207)</f>
        <v>0</v>
      </c>
      <c r="E208" s="591"/>
      <c r="F208" s="172"/>
      <c r="G208" s="172"/>
      <c r="H208" s="172"/>
      <c r="I208" s="172"/>
    </row>
    <row r="209" spans="1:9" ht="15.75" hidden="1">
      <c r="A209" s="635"/>
      <c r="B209" s="655"/>
      <c r="C209" s="647"/>
      <c r="D209" s="648"/>
      <c r="E209" s="591"/>
      <c r="F209" s="172"/>
      <c r="G209" s="172"/>
      <c r="H209" s="172"/>
      <c r="I209" s="172"/>
    </row>
    <row r="210" spans="1:8" ht="16.5" hidden="1" thickBot="1">
      <c r="A210" s="637">
        <v>98003</v>
      </c>
      <c r="B210" s="638"/>
      <c r="C210" s="639" t="s">
        <v>900</v>
      </c>
      <c r="D210" s="640"/>
      <c r="E210" s="591"/>
      <c r="F210" s="172"/>
      <c r="G210" s="172"/>
      <c r="H210" s="172"/>
    </row>
    <row r="211" spans="1:8" ht="15.75">
      <c r="A211" s="641"/>
      <c r="B211" s="642"/>
      <c r="C211" s="643"/>
      <c r="D211" s="812"/>
      <c r="E211" s="591"/>
      <c r="F211" s="591"/>
      <c r="G211" s="591"/>
      <c r="H211" s="591"/>
    </row>
    <row r="212" spans="1:8" ht="15.75">
      <c r="A212" s="683">
        <v>10</v>
      </c>
      <c r="B212" s="684"/>
      <c r="C212" s="796" t="s">
        <v>645</v>
      </c>
      <c r="D212" s="686">
        <f>D217+D221+D223+D246+D214+D219</f>
        <v>131288</v>
      </c>
      <c r="E212" s="591"/>
      <c r="F212" s="591">
        <f>D212-E212</f>
        <v>131288</v>
      </c>
      <c r="G212" s="591"/>
      <c r="H212" s="172"/>
    </row>
    <row r="213" spans="1:8" ht="15.75">
      <c r="A213" s="827"/>
      <c r="B213" s="828"/>
      <c r="C213" s="707"/>
      <c r="D213" s="829"/>
      <c r="E213" s="591"/>
      <c r="F213" s="591"/>
      <c r="G213" s="591"/>
      <c r="H213" s="172"/>
    </row>
    <row r="214" spans="1:8" ht="15.75" hidden="1">
      <c r="A214" s="827">
        <v>101</v>
      </c>
      <c r="B214" s="828"/>
      <c r="C214" s="707" t="s">
        <v>901</v>
      </c>
      <c r="D214" s="829">
        <v>0</v>
      </c>
      <c r="E214" s="591"/>
      <c r="F214" s="591"/>
      <c r="G214" s="591"/>
      <c r="H214" s="172"/>
    </row>
    <row r="215" spans="1:8" ht="15.75" hidden="1">
      <c r="A215" s="827"/>
      <c r="B215" s="828"/>
      <c r="C215" s="830" t="s">
        <v>645</v>
      </c>
      <c r="D215" s="831"/>
      <c r="E215" s="591"/>
      <c r="F215" s="172"/>
      <c r="G215" s="172"/>
      <c r="H215" s="172"/>
    </row>
    <row r="216" spans="1:8" ht="16.5" thickBot="1">
      <c r="A216" s="749"/>
      <c r="B216" s="832"/>
      <c r="C216" s="833"/>
      <c r="D216" s="834"/>
      <c r="E216" s="591"/>
      <c r="F216" s="172"/>
      <c r="G216" s="172"/>
      <c r="H216" s="172"/>
    </row>
    <row r="217" spans="1:8" ht="16.5" thickBot="1">
      <c r="A217" s="835">
        <v>102</v>
      </c>
      <c r="B217" s="836"/>
      <c r="C217" s="690" t="s">
        <v>902</v>
      </c>
      <c r="D217" s="837">
        <v>-192</v>
      </c>
      <c r="E217" s="591"/>
      <c r="F217" s="172"/>
      <c r="G217" s="172"/>
      <c r="H217" s="172"/>
    </row>
    <row r="218" spans="1:8" ht="16.5" thickBot="1">
      <c r="A218" s="749"/>
      <c r="B218" s="838"/>
      <c r="C218" s="710"/>
      <c r="D218" s="834"/>
      <c r="E218" s="591"/>
      <c r="F218" s="172"/>
      <c r="G218" s="172"/>
      <c r="H218" s="172"/>
    </row>
    <row r="219" spans="1:8" ht="16.5" thickBot="1">
      <c r="A219" s="835">
        <v>103</v>
      </c>
      <c r="B219" s="836"/>
      <c r="C219" s="690" t="s">
        <v>652</v>
      </c>
      <c r="D219" s="837">
        <v>959</v>
      </c>
      <c r="E219" s="591"/>
      <c r="F219" s="172"/>
      <c r="G219" s="172"/>
      <c r="H219" s="172"/>
    </row>
    <row r="220" spans="1:8" ht="16.5" thickBot="1">
      <c r="A220" s="749"/>
      <c r="B220" s="838"/>
      <c r="C220" s="710"/>
      <c r="D220" s="834"/>
      <c r="E220" s="591"/>
      <c r="F220" s="172"/>
      <c r="G220" s="172"/>
      <c r="H220" s="172"/>
    </row>
    <row r="221" spans="1:8" ht="16.5" thickBot="1">
      <c r="A221" s="835">
        <v>104</v>
      </c>
      <c r="B221" s="836"/>
      <c r="C221" s="690" t="s">
        <v>903</v>
      </c>
      <c r="D221" s="837">
        <v>12747</v>
      </c>
      <c r="E221" s="591"/>
      <c r="F221" s="591"/>
      <c r="G221" s="172"/>
      <c r="H221" s="172"/>
    </row>
    <row r="222" spans="1:8" ht="16.5" thickBot="1">
      <c r="A222" s="827"/>
      <c r="B222" s="828"/>
      <c r="C222" s="707"/>
      <c r="D222" s="831"/>
      <c r="E222" s="591"/>
      <c r="F222" s="172"/>
      <c r="G222" s="172"/>
      <c r="H222" s="172"/>
    </row>
    <row r="223" spans="1:8" ht="16.5" thickBot="1">
      <c r="A223" s="835">
        <v>107</v>
      </c>
      <c r="B223" s="704"/>
      <c r="C223" s="690" t="s">
        <v>904</v>
      </c>
      <c r="D223" s="837">
        <f>D233+D234+D237+D239</f>
        <v>109844</v>
      </c>
      <c r="E223" s="591"/>
      <c r="F223" s="172"/>
      <c r="G223" s="172"/>
      <c r="H223" s="172"/>
    </row>
    <row r="224" spans="1:8" ht="16.5" thickBot="1">
      <c r="A224" s="769"/>
      <c r="B224" s="617"/>
      <c r="C224" s="772"/>
      <c r="D224" s="658"/>
      <c r="E224" s="591"/>
      <c r="F224" s="172"/>
      <c r="G224" s="172"/>
      <c r="H224" s="172"/>
    </row>
    <row r="225" spans="1:8" ht="16.5" thickBot="1">
      <c r="A225" s="637">
        <v>107001</v>
      </c>
      <c r="B225" s="638"/>
      <c r="C225" s="839" t="s">
        <v>905</v>
      </c>
      <c r="D225" s="840"/>
      <c r="E225" s="591"/>
      <c r="F225" s="172"/>
      <c r="G225" s="172"/>
      <c r="H225" s="172"/>
    </row>
    <row r="226" spans="1:5" ht="15.75">
      <c r="A226" s="628"/>
      <c r="B226" s="642"/>
      <c r="C226" s="643"/>
      <c r="D226" s="812"/>
      <c r="E226" s="591"/>
    </row>
    <row r="227" spans="1:5" ht="15.75">
      <c r="A227" s="628"/>
      <c r="B227" s="634">
        <v>50</v>
      </c>
      <c r="C227" s="589" t="s">
        <v>828</v>
      </c>
      <c r="D227" s="631">
        <v>0</v>
      </c>
      <c r="E227" s="591"/>
    </row>
    <row r="228" spans="1:5" ht="15.75">
      <c r="A228" s="628"/>
      <c r="B228" s="634">
        <v>55</v>
      </c>
      <c r="C228" s="589" t="s">
        <v>906</v>
      </c>
      <c r="D228" s="631">
        <v>6975</v>
      </c>
      <c r="E228" s="591"/>
    </row>
    <row r="229" spans="1:5" ht="15.75" hidden="1">
      <c r="A229" s="628"/>
      <c r="B229" s="646">
        <v>4</v>
      </c>
      <c r="C229" s="636" t="s">
        <v>870</v>
      </c>
      <c r="D229" s="631"/>
      <c r="E229" s="591"/>
    </row>
    <row r="230" spans="1:5" ht="16.5" thickBot="1">
      <c r="A230" s="628"/>
      <c r="B230" s="612">
        <v>6</v>
      </c>
      <c r="C230" s="636" t="s">
        <v>829</v>
      </c>
      <c r="D230" s="631">
        <v>-100</v>
      </c>
      <c r="E230" s="591"/>
    </row>
    <row r="231" spans="1:5" ht="16.5" hidden="1" thickBot="1">
      <c r="A231" s="628"/>
      <c r="B231" s="634">
        <v>15</v>
      </c>
      <c r="C231" s="589" t="s">
        <v>833</v>
      </c>
      <c r="D231" s="631"/>
      <c r="E231" s="591"/>
    </row>
    <row r="232" spans="1:5" ht="16.5" hidden="1" thickBot="1">
      <c r="A232" s="628"/>
      <c r="B232" s="629"/>
      <c r="C232" s="589" t="s">
        <v>893</v>
      </c>
      <c r="D232" s="649"/>
      <c r="E232" s="591"/>
    </row>
    <row r="233" spans="1:5" ht="16.5" thickBot="1">
      <c r="A233" s="637"/>
      <c r="B233" s="638"/>
      <c r="C233" s="841" t="s">
        <v>830</v>
      </c>
      <c r="D233" s="842">
        <f>SUM(D227:D231)</f>
        <v>6875</v>
      </c>
      <c r="E233" s="591"/>
    </row>
    <row r="234" spans="1:5" ht="16.5" thickBot="1">
      <c r="A234" s="769">
        <v>107002</v>
      </c>
      <c r="B234" s="638">
        <v>4520</v>
      </c>
      <c r="C234" s="841" t="s">
        <v>907</v>
      </c>
      <c r="D234" s="842">
        <v>8000</v>
      </c>
      <c r="E234" s="591"/>
    </row>
    <row r="235" spans="1:5" ht="16.5" hidden="1" thickBot="1">
      <c r="A235" s="769"/>
      <c r="B235" s="655"/>
      <c r="C235" s="710"/>
      <c r="D235" s="843"/>
      <c r="E235" s="591"/>
    </row>
    <row r="236" spans="1:5" ht="16.5" hidden="1" thickBot="1">
      <c r="A236" s="769"/>
      <c r="B236" s="612"/>
      <c r="C236" s="833"/>
      <c r="D236" s="844"/>
      <c r="E236" s="591"/>
    </row>
    <row r="237" spans="1:5" ht="16.5" thickBot="1">
      <c r="A237" s="835">
        <v>10701</v>
      </c>
      <c r="B237" s="704">
        <v>41</v>
      </c>
      <c r="C237" s="690" t="s">
        <v>908</v>
      </c>
      <c r="D237" s="837">
        <v>94969</v>
      </c>
      <c r="E237" s="591"/>
    </row>
    <row r="238" spans="1:5" ht="16.5" thickBot="1">
      <c r="A238" s="749"/>
      <c r="B238" s="709"/>
      <c r="C238" s="833"/>
      <c r="D238" s="844"/>
      <c r="E238" s="591"/>
    </row>
    <row r="239" spans="1:5" ht="16.5" thickBot="1">
      <c r="A239" s="835">
        <v>10702</v>
      </c>
      <c r="B239" s="704">
        <v>41</v>
      </c>
      <c r="C239" s="690" t="s">
        <v>909</v>
      </c>
      <c r="D239" s="837">
        <v>0</v>
      </c>
      <c r="E239" s="591"/>
    </row>
    <row r="240" spans="1:5" ht="15.75">
      <c r="A240" s="635"/>
      <c r="B240" s="612"/>
      <c r="C240" s="833"/>
      <c r="D240" s="844"/>
      <c r="E240" s="591"/>
    </row>
    <row r="241" spans="1:5" ht="15.75">
      <c r="A241" s="628">
        <v>10900</v>
      </c>
      <c r="B241" s="629"/>
      <c r="C241" s="845" t="s">
        <v>910</v>
      </c>
      <c r="D241" s="846"/>
      <c r="E241" s="591"/>
    </row>
    <row r="242" spans="1:7" ht="21" customHeight="1">
      <c r="A242" s="628"/>
      <c r="B242" s="629"/>
      <c r="C242" s="847"/>
      <c r="D242" s="846"/>
      <c r="E242" s="591"/>
      <c r="F242" s="172"/>
      <c r="G242" s="172"/>
    </row>
    <row r="243" spans="1:7" ht="15.75">
      <c r="A243" s="628"/>
      <c r="B243" s="634">
        <v>50</v>
      </c>
      <c r="C243" s="847" t="s">
        <v>828</v>
      </c>
      <c r="D243" s="848">
        <v>6330</v>
      </c>
      <c r="E243" s="591"/>
      <c r="F243" s="172"/>
      <c r="G243" s="172"/>
    </row>
    <row r="244" spans="1:7" ht="15.75">
      <c r="A244" s="628"/>
      <c r="B244" s="634">
        <v>55</v>
      </c>
      <c r="C244" s="847" t="s">
        <v>551</v>
      </c>
      <c r="D244" s="849">
        <v>1520</v>
      </c>
      <c r="E244" s="591"/>
      <c r="F244" s="172"/>
      <c r="G244" s="172"/>
    </row>
    <row r="245" spans="1:7" ht="16.5" thickBot="1">
      <c r="A245" s="635"/>
      <c r="B245" s="612">
        <v>6</v>
      </c>
      <c r="C245" s="636" t="s">
        <v>829</v>
      </c>
      <c r="D245" s="850">
        <v>80</v>
      </c>
      <c r="E245" s="591"/>
      <c r="F245" s="172"/>
      <c r="G245" s="172"/>
    </row>
    <row r="246" spans="1:7" ht="16.5" thickBot="1">
      <c r="A246" s="637"/>
      <c r="B246" s="638"/>
      <c r="C246" s="841" t="s">
        <v>830</v>
      </c>
      <c r="D246" s="842">
        <f>SUM(D243:D245)</f>
        <v>7930</v>
      </c>
      <c r="E246" s="591"/>
      <c r="F246" s="591"/>
      <c r="G246" s="172"/>
    </row>
    <row r="247" spans="1:7" ht="16.5" thickBot="1">
      <c r="A247" s="851"/>
      <c r="B247" s="852"/>
      <c r="C247" s="853"/>
      <c r="D247" s="669"/>
      <c r="E247" s="591"/>
      <c r="F247" s="172"/>
      <c r="G247" s="172"/>
    </row>
    <row r="248" spans="1:7" ht="16.5" thickBot="1">
      <c r="A248" s="854" t="s">
        <v>760</v>
      </c>
      <c r="B248" s="855"/>
      <c r="C248" s="855" t="s">
        <v>681</v>
      </c>
      <c r="D248" s="856">
        <f>SUM(D250)</f>
        <v>12171</v>
      </c>
      <c r="E248" s="591"/>
      <c r="F248" s="172"/>
      <c r="G248" s="172"/>
    </row>
    <row r="249" spans="1:7" ht="15.75">
      <c r="A249" s="857"/>
      <c r="B249" s="858"/>
      <c r="C249" s="859"/>
      <c r="D249" s="812"/>
      <c r="E249" s="591"/>
      <c r="F249" s="172"/>
      <c r="G249" s="172"/>
    </row>
    <row r="250" spans="1:7" ht="16.5" thickBot="1">
      <c r="A250" s="860"/>
      <c r="B250" s="861" t="s">
        <v>773</v>
      </c>
      <c r="C250" s="862" t="s">
        <v>884</v>
      </c>
      <c r="D250" s="653">
        <v>12171</v>
      </c>
      <c r="E250" s="591"/>
      <c r="F250" s="172"/>
      <c r="G250" s="591"/>
    </row>
    <row r="251" spans="1:7" ht="16.5" thickBot="1">
      <c r="A251" s="854"/>
      <c r="B251" s="863"/>
      <c r="C251" s="863" t="s">
        <v>911</v>
      </c>
      <c r="D251" s="864">
        <f>D248+D212+D158+D110+D70+D55+D15+D99</f>
        <v>2241269</v>
      </c>
      <c r="E251" s="591"/>
      <c r="F251" s="865">
        <f>D251-E251</f>
        <v>2241269</v>
      </c>
      <c r="G251" s="866"/>
    </row>
    <row r="252" spans="1:7" ht="15">
      <c r="A252" s="867"/>
      <c r="B252" s="867"/>
      <c r="C252" s="867"/>
      <c r="D252" s="867"/>
      <c r="E252" s="172"/>
      <c r="F252" s="172"/>
      <c r="G252" s="172"/>
    </row>
    <row r="253" spans="1:7" ht="15.75" hidden="1">
      <c r="A253" s="598" t="s">
        <v>820</v>
      </c>
      <c r="B253" s="599"/>
      <c r="C253" s="570"/>
      <c r="D253" s="565" t="s">
        <v>821</v>
      </c>
      <c r="E253" s="591"/>
      <c r="F253" s="172"/>
      <c r="G253" s="172"/>
    </row>
    <row r="254" spans="1:7" ht="15.75" hidden="1">
      <c r="A254" s="598"/>
      <c r="B254" s="599"/>
      <c r="C254" s="570"/>
      <c r="D254" s="567" t="s">
        <v>811</v>
      </c>
      <c r="E254" s="591"/>
      <c r="F254" s="172"/>
      <c r="G254" s="172"/>
    </row>
    <row r="255" spans="1:7" ht="15.75" hidden="1">
      <c r="A255" s="598"/>
      <c r="B255" s="599"/>
      <c r="C255" s="570"/>
      <c r="D255" s="567" t="s">
        <v>812</v>
      </c>
      <c r="E255" s="591"/>
      <c r="F255" s="172"/>
      <c r="G255" s="172"/>
    </row>
    <row r="256" spans="1:7" ht="15.75" hidden="1">
      <c r="A256" s="598"/>
      <c r="B256" s="599"/>
      <c r="C256" s="570"/>
      <c r="D256" s="568" t="s">
        <v>912</v>
      </c>
      <c r="E256" s="591"/>
      <c r="F256" s="172"/>
      <c r="G256" s="172"/>
    </row>
    <row r="257" spans="1:7" ht="15.75" hidden="1">
      <c r="A257" s="598"/>
      <c r="B257" s="599"/>
      <c r="C257" s="570"/>
      <c r="D257" s="567" t="s">
        <v>814</v>
      </c>
      <c r="E257" s="591"/>
      <c r="F257" s="172"/>
      <c r="G257" s="172"/>
    </row>
    <row r="258" spans="1:5" ht="15.75" hidden="1">
      <c r="A258" s="598"/>
      <c r="B258" s="599"/>
      <c r="C258" s="570"/>
      <c r="D258" s="569"/>
      <c r="E258" s="591"/>
    </row>
    <row r="259" spans="1:5" ht="15.75" hidden="1">
      <c r="A259" s="598"/>
      <c r="B259" s="600" t="s">
        <v>913</v>
      </c>
      <c r="C259" s="601"/>
      <c r="D259" s="172"/>
      <c r="E259" s="591"/>
    </row>
    <row r="260" spans="1:5" ht="15.75" hidden="1">
      <c r="A260" s="602" t="s">
        <v>4</v>
      </c>
      <c r="B260" s="603"/>
      <c r="C260" s="604"/>
      <c r="D260" s="605"/>
      <c r="E260" s="591"/>
    </row>
    <row r="261" spans="1:5" ht="16.5" hidden="1" thickBot="1">
      <c r="A261" s="606" t="s">
        <v>914</v>
      </c>
      <c r="B261" s="607"/>
      <c r="C261" s="580" t="s">
        <v>11</v>
      </c>
      <c r="D261" s="608" t="s">
        <v>818</v>
      </c>
      <c r="E261" s="591"/>
    </row>
    <row r="262" spans="1:5" ht="15.75" hidden="1">
      <c r="A262" s="602" t="s">
        <v>349</v>
      </c>
      <c r="B262" s="609" t="s">
        <v>26</v>
      </c>
      <c r="C262" s="580"/>
      <c r="D262" s="610"/>
      <c r="E262" s="591"/>
    </row>
    <row r="263" spans="1:5" ht="15.75" hidden="1">
      <c r="A263" s="611" t="s">
        <v>355</v>
      </c>
      <c r="B263" s="612" t="s">
        <v>356</v>
      </c>
      <c r="C263" s="580"/>
      <c r="D263" s="610"/>
      <c r="E263" s="591"/>
    </row>
    <row r="264" spans="1:5" ht="15.75" hidden="1">
      <c r="A264" s="611" t="s">
        <v>357</v>
      </c>
      <c r="B264" s="612" t="s">
        <v>363</v>
      </c>
      <c r="C264" s="580"/>
      <c r="D264" s="613"/>
      <c r="E264" s="591"/>
    </row>
    <row r="265" spans="1:5" ht="16.5" hidden="1" thickBot="1">
      <c r="A265" s="606"/>
      <c r="B265" s="614" t="s">
        <v>825</v>
      </c>
      <c r="C265" s="583"/>
      <c r="D265" s="615"/>
      <c r="E265" s="591"/>
    </row>
    <row r="266" spans="1:5" ht="16.5" hidden="1" thickBot="1">
      <c r="A266" s="616">
        <v>1</v>
      </c>
      <c r="B266" s="617">
        <v>2</v>
      </c>
      <c r="C266" s="618">
        <v>3</v>
      </c>
      <c r="D266" s="868">
        <v>4</v>
      </c>
      <c r="E266" s="591"/>
    </row>
    <row r="267" spans="1:5" ht="15.75" hidden="1">
      <c r="A267" s="620" t="s">
        <v>368</v>
      </c>
      <c r="B267" s="621"/>
      <c r="C267" s="621" t="s">
        <v>369</v>
      </c>
      <c r="D267" s="622">
        <f>D273+D282+D295+D297+D307+D304+D309+D287</f>
        <v>2045969</v>
      </c>
      <c r="E267" s="591"/>
    </row>
    <row r="268" spans="1:5" ht="15.75" hidden="1">
      <c r="A268" s="624"/>
      <c r="B268" s="625"/>
      <c r="C268" s="626"/>
      <c r="D268" s="627"/>
      <c r="E268" s="591"/>
    </row>
    <row r="269" spans="1:5" ht="15.75" hidden="1">
      <c r="A269" s="628" t="s">
        <v>371</v>
      </c>
      <c r="B269" s="629"/>
      <c r="C269" s="630" t="s">
        <v>826</v>
      </c>
      <c r="D269" s="631"/>
      <c r="E269" s="591"/>
    </row>
    <row r="270" spans="1:5" ht="15.75" hidden="1">
      <c r="A270" s="628"/>
      <c r="B270" s="625">
        <v>4</v>
      </c>
      <c r="C270" s="632" t="s">
        <v>915</v>
      </c>
      <c r="D270" s="627"/>
      <c r="E270" s="591"/>
    </row>
    <row r="271" spans="1:5" ht="15.75" hidden="1">
      <c r="A271" s="633"/>
      <c r="B271" s="634">
        <v>50</v>
      </c>
      <c r="C271" s="589" t="s">
        <v>828</v>
      </c>
      <c r="D271" s="631"/>
      <c r="E271" s="591"/>
    </row>
    <row r="272" spans="1:5" ht="15.75" hidden="1">
      <c r="A272" s="628"/>
      <c r="B272" s="634">
        <v>55</v>
      </c>
      <c r="C272" s="589" t="s">
        <v>551</v>
      </c>
      <c r="D272" s="631">
        <v>34230</v>
      </c>
      <c r="E272" s="591"/>
    </row>
    <row r="273" spans="1:5" ht="16.5" hidden="1" thickBot="1">
      <c r="A273" s="637"/>
      <c r="B273" s="638"/>
      <c r="C273" s="639" t="s">
        <v>830</v>
      </c>
      <c r="D273" s="640">
        <f>SUM(D270:D272)</f>
        <v>34230</v>
      </c>
      <c r="E273" s="591"/>
    </row>
    <row r="274" spans="1:5" ht="15.75" hidden="1">
      <c r="A274" s="641"/>
      <c r="B274" s="642"/>
      <c r="C274" s="643"/>
      <c r="D274" s="644"/>
      <c r="E274" s="591"/>
    </row>
    <row r="275" spans="1:5" ht="15.75" hidden="1">
      <c r="A275" s="628" t="s">
        <v>375</v>
      </c>
      <c r="B275" s="634"/>
      <c r="C275" s="630" t="s">
        <v>831</v>
      </c>
      <c r="D275" s="631"/>
      <c r="E275" s="591"/>
    </row>
    <row r="276" spans="1:5" ht="15.75" hidden="1">
      <c r="A276" s="628"/>
      <c r="B276" s="634"/>
      <c r="C276" s="630"/>
      <c r="D276" s="627"/>
      <c r="E276" s="591"/>
    </row>
    <row r="277" spans="1:5" ht="15.75" hidden="1">
      <c r="A277" s="628"/>
      <c r="B277" s="634">
        <v>50</v>
      </c>
      <c r="C277" s="589" t="s">
        <v>828</v>
      </c>
      <c r="D277" s="631"/>
      <c r="E277" s="869"/>
    </row>
    <row r="278" spans="1:5" ht="15.75" hidden="1">
      <c r="A278" s="628"/>
      <c r="B278" s="634">
        <v>55</v>
      </c>
      <c r="C278" s="589" t="s">
        <v>551</v>
      </c>
      <c r="D278" s="631">
        <v>718770</v>
      </c>
      <c r="E278" s="591"/>
    </row>
    <row r="279" spans="1:5" ht="15.75" hidden="1">
      <c r="A279" s="628"/>
      <c r="B279" s="634">
        <v>15</v>
      </c>
      <c r="C279" s="589" t="s">
        <v>833</v>
      </c>
      <c r="D279" s="631"/>
      <c r="E279" s="591"/>
    </row>
    <row r="280" spans="1:5" ht="15.75" hidden="1">
      <c r="A280" s="650"/>
      <c r="B280" s="678"/>
      <c r="C280" s="652" t="s">
        <v>834</v>
      </c>
      <c r="D280" s="627"/>
      <c r="E280" s="591"/>
    </row>
    <row r="281" spans="1:5" ht="15.75" hidden="1">
      <c r="A281" s="635"/>
      <c r="B281" s="612">
        <v>6</v>
      </c>
      <c r="C281" s="636" t="s">
        <v>829</v>
      </c>
      <c r="D281" s="613"/>
      <c r="E281" s="591"/>
    </row>
    <row r="282" spans="1:5" ht="16.5" hidden="1" thickBot="1">
      <c r="A282" s="637"/>
      <c r="B282" s="645"/>
      <c r="C282" s="639" t="s">
        <v>830</v>
      </c>
      <c r="D282" s="640">
        <f>SUM(D277:D281)</f>
        <v>718770</v>
      </c>
      <c r="E282" s="591"/>
    </row>
    <row r="283" spans="1:5" ht="15.75" hidden="1">
      <c r="A283" s="635"/>
      <c r="B283" s="646"/>
      <c r="C283" s="647"/>
      <c r="D283" s="648"/>
      <c r="E283" s="591"/>
    </row>
    <row r="284" spans="1:5" ht="15.75" hidden="1">
      <c r="A284" s="628" t="s">
        <v>377</v>
      </c>
      <c r="B284" s="629"/>
      <c r="C284" s="630" t="s">
        <v>916</v>
      </c>
      <c r="D284" s="649"/>
      <c r="E284" s="591"/>
    </row>
    <row r="285" spans="1:5" ht="15.75" hidden="1">
      <c r="A285" s="650"/>
      <c r="B285" s="629"/>
      <c r="C285" s="870"/>
      <c r="D285" s="649"/>
      <c r="E285" s="591"/>
    </row>
    <row r="286" spans="1:5" ht="15.75" hidden="1">
      <c r="A286" s="650"/>
      <c r="B286" s="634">
        <v>50</v>
      </c>
      <c r="C286" s="652" t="s">
        <v>828</v>
      </c>
      <c r="D286" s="631"/>
      <c r="E286" s="591"/>
    </row>
    <row r="287" spans="1:5" ht="16.5" hidden="1" thickBot="1">
      <c r="A287" s="637"/>
      <c r="B287" s="645"/>
      <c r="C287" s="639" t="s">
        <v>830</v>
      </c>
      <c r="D287" s="640">
        <f>SUM(D286)</f>
        <v>0</v>
      </c>
      <c r="E287" s="591"/>
    </row>
    <row r="288" spans="1:5" ht="15.75" hidden="1">
      <c r="A288" s="635"/>
      <c r="B288" s="646"/>
      <c r="C288" s="647"/>
      <c r="D288" s="648"/>
      <c r="E288" s="591"/>
    </row>
    <row r="289" spans="1:5" ht="15.75" hidden="1">
      <c r="A289" s="628" t="s">
        <v>380</v>
      </c>
      <c r="B289" s="629"/>
      <c r="C289" s="630" t="s">
        <v>835</v>
      </c>
      <c r="D289" s="649"/>
      <c r="E289" s="591"/>
    </row>
    <row r="290" spans="1:8" ht="15.75" hidden="1">
      <c r="A290" s="628"/>
      <c r="B290" s="629"/>
      <c r="C290" s="632"/>
      <c r="D290" s="649"/>
      <c r="E290" s="591"/>
      <c r="F290" s="172"/>
      <c r="G290" s="172"/>
      <c r="H290" s="172"/>
    </row>
    <row r="291" spans="1:8" ht="15.75" hidden="1">
      <c r="A291" s="628"/>
      <c r="B291" s="634">
        <v>50</v>
      </c>
      <c r="C291" s="589" t="s">
        <v>828</v>
      </c>
      <c r="D291" s="631"/>
      <c r="E291" s="591"/>
      <c r="F291" s="172"/>
      <c r="G291" s="172"/>
      <c r="H291" s="172"/>
    </row>
    <row r="292" spans="1:8" ht="15.75" hidden="1">
      <c r="A292" s="628"/>
      <c r="B292" s="634">
        <v>55</v>
      </c>
      <c r="C292" s="589" t="s">
        <v>551</v>
      </c>
      <c r="D292" s="631"/>
      <c r="E292" s="591"/>
      <c r="F292" s="172"/>
      <c r="G292" s="172"/>
      <c r="H292" s="172"/>
    </row>
    <row r="293" spans="1:8" ht="15.75" hidden="1">
      <c r="A293" s="628"/>
      <c r="B293" s="625">
        <v>15</v>
      </c>
      <c r="C293" s="589" t="s">
        <v>836</v>
      </c>
      <c r="D293" s="631"/>
      <c r="E293" s="591"/>
      <c r="F293" s="172"/>
      <c r="G293" s="172"/>
      <c r="H293" s="172"/>
    </row>
    <row r="294" spans="1:8" ht="15.75" hidden="1">
      <c r="A294" s="650"/>
      <c r="B294" s="651"/>
      <c r="C294" s="652" t="s">
        <v>837</v>
      </c>
      <c r="D294" s="653"/>
      <c r="E294" s="591"/>
      <c r="F294" s="172"/>
      <c r="G294" s="172"/>
      <c r="H294" s="172"/>
    </row>
    <row r="295" spans="1:8" ht="16.5" hidden="1" thickBot="1">
      <c r="A295" s="637"/>
      <c r="B295" s="638"/>
      <c r="C295" s="639" t="s">
        <v>830</v>
      </c>
      <c r="D295" s="654">
        <f>SUM(D291:D294)</f>
        <v>0</v>
      </c>
      <c r="E295" s="591"/>
      <c r="F295" s="172"/>
      <c r="G295" s="172"/>
      <c r="H295" s="172"/>
    </row>
    <row r="296" spans="1:8" ht="15.75" hidden="1">
      <c r="A296" s="635"/>
      <c r="B296" s="655"/>
      <c r="C296" s="647"/>
      <c r="D296" s="656"/>
      <c r="E296" s="591"/>
      <c r="F296" s="172"/>
      <c r="G296" s="172"/>
      <c r="H296" s="172"/>
    </row>
    <row r="297" spans="1:8" ht="16.5" hidden="1" thickBot="1">
      <c r="A297" s="637" t="s">
        <v>382</v>
      </c>
      <c r="B297" s="638"/>
      <c r="C297" s="657" t="s">
        <v>838</v>
      </c>
      <c r="D297" s="658">
        <f>SUM(D299:D302)</f>
        <v>1292969</v>
      </c>
      <c r="E297" s="591"/>
      <c r="F297" s="172"/>
      <c r="G297" s="172"/>
      <c r="H297" s="172"/>
    </row>
    <row r="298" spans="1:8" ht="15.75" hidden="1">
      <c r="A298" s="635"/>
      <c r="B298" s="655"/>
      <c r="C298" s="668"/>
      <c r="D298" s="698"/>
      <c r="E298" s="591"/>
      <c r="F298" s="172"/>
      <c r="G298" s="172"/>
      <c r="H298" s="172"/>
    </row>
    <row r="299" spans="1:8" ht="15.75" hidden="1">
      <c r="A299" s="624"/>
      <c r="B299" s="625"/>
      <c r="C299" s="589" t="s">
        <v>839</v>
      </c>
      <c r="D299" s="660">
        <v>299769</v>
      </c>
      <c r="E299" s="661"/>
      <c r="F299" s="573"/>
      <c r="G299" s="573"/>
      <c r="H299" s="573"/>
    </row>
    <row r="300" spans="1:8" ht="15.75" hidden="1">
      <c r="A300" s="624"/>
      <c r="B300" s="625"/>
      <c r="C300" s="589" t="s">
        <v>917</v>
      </c>
      <c r="D300" s="660"/>
      <c r="E300" s="661"/>
      <c r="F300" s="573"/>
      <c r="G300" s="573"/>
      <c r="H300" s="573"/>
    </row>
    <row r="301" spans="1:8" ht="15.75" hidden="1">
      <c r="A301" s="624"/>
      <c r="B301" s="625"/>
      <c r="C301" s="589" t="s">
        <v>918</v>
      </c>
      <c r="D301" s="660"/>
      <c r="E301" s="661"/>
      <c r="F301" s="573"/>
      <c r="G301" s="573"/>
      <c r="H301" s="573"/>
    </row>
    <row r="302" spans="1:8" ht="15.75" hidden="1">
      <c r="A302" s="624"/>
      <c r="B302" s="625"/>
      <c r="C302" s="632" t="s">
        <v>919</v>
      </c>
      <c r="D302" s="660">
        <v>993200</v>
      </c>
      <c r="E302" s="661"/>
      <c r="F302" s="573"/>
      <c r="G302" s="573"/>
      <c r="H302" s="573"/>
    </row>
    <row r="303" spans="1:8" ht="15.75" hidden="1">
      <c r="A303" s="635"/>
      <c r="B303" s="655"/>
      <c r="C303" s="871"/>
      <c r="D303" s="669"/>
      <c r="E303" s="591"/>
      <c r="F303" s="172"/>
      <c r="G303" s="172"/>
      <c r="H303" s="172"/>
    </row>
    <row r="304" spans="1:8" ht="16.5" hidden="1" thickBot="1">
      <c r="A304" s="662" t="s">
        <v>396</v>
      </c>
      <c r="B304" s="663"/>
      <c r="C304" s="664" t="s">
        <v>842</v>
      </c>
      <c r="D304" s="658"/>
      <c r="E304" s="591"/>
      <c r="F304" s="172"/>
      <c r="G304" s="172"/>
      <c r="H304" s="172"/>
    </row>
    <row r="305" spans="1:8" ht="16.5" hidden="1" thickBot="1">
      <c r="A305" s="637"/>
      <c r="B305" s="638"/>
      <c r="C305" s="657" t="s">
        <v>843</v>
      </c>
      <c r="D305" s="658"/>
      <c r="E305" s="591"/>
      <c r="F305" s="172"/>
      <c r="G305" s="172"/>
      <c r="H305" s="172"/>
    </row>
    <row r="306" spans="1:5" ht="16.5" hidden="1" thickBot="1">
      <c r="A306" s="637"/>
      <c r="B306" s="638"/>
      <c r="C306" s="657"/>
      <c r="D306" s="658"/>
      <c r="E306" s="591"/>
    </row>
    <row r="307" spans="1:5" ht="16.5" hidden="1" thickBot="1">
      <c r="A307" s="665" t="s">
        <v>402</v>
      </c>
      <c r="B307" s="666"/>
      <c r="C307" s="667" t="s">
        <v>844</v>
      </c>
      <c r="D307" s="658"/>
      <c r="E307" s="591"/>
    </row>
    <row r="308" spans="1:5" ht="16.5" hidden="1" thickBot="1">
      <c r="A308" s="637"/>
      <c r="B308" s="638"/>
      <c r="C308" s="657"/>
      <c r="D308" s="658"/>
      <c r="E308" s="591"/>
    </row>
    <row r="309" spans="1:5" ht="16.5" hidden="1" thickBot="1">
      <c r="A309" s="637" t="s">
        <v>404</v>
      </c>
      <c r="B309" s="617"/>
      <c r="C309" s="657" t="s">
        <v>845</v>
      </c>
      <c r="D309" s="658"/>
      <c r="E309" s="591"/>
    </row>
    <row r="310" spans="1:5" ht="15.75" hidden="1">
      <c r="A310" s="635"/>
      <c r="B310" s="655"/>
      <c r="C310" s="668"/>
      <c r="D310" s="669"/>
      <c r="E310" s="591"/>
    </row>
    <row r="311" spans="1:5" ht="16.5" hidden="1" thickBot="1">
      <c r="A311" s="670" t="s">
        <v>422</v>
      </c>
      <c r="B311" s="671"/>
      <c r="C311" s="672" t="s">
        <v>423</v>
      </c>
      <c r="D311" s="673">
        <f>D319+D324</f>
        <v>0</v>
      </c>
      <c r="E311" s="591"/>
    </row>
    <row r="312" spans="1:5" ht="15.75" hidden="1">
      <c r="A312" s="641"/>
      <c r="B312" s="642"/>
      <c r="C312" s="872"/>
      <c r="D312" s="812"/>
      <c r="E312" s="591"/>
    </row>
    <row r="313" spans="1:5" ht="15.75" hidden="1">
      <c r="A313" s="628" t="s">
        <v>424</v>
      </c>
      <c r="B313" s="629"/>
      <c r="C313" s="630" t="s">
        <v>847</v>
      </c>
      <c r="D313" s="649"/>
      <c r="E313" s="591"/>
    </row>
    <row r="314" spans="1:5" ht="15.75" hidden="1">
      <c r="A314" s="628"/>
      <c r="B314" s="629"/>
      <c r="C314" s="630"/>
      <c r="D314" s="649"/>
      <c r="E314" s="591"/>
    </row>
    <row r="315" spans="1:5" ht="15.75" hidden="1">
      <c r="A315" s="628"/>
      <c r="B315" s="634">
        <v>50</v>
      </c>
      <c r="C315" s="589" t="s">
        <v>828</v>
      </c>
      <c r="D315" s="631"/>
      <c r="E315" s="591"/>
    </row>
    <row r="316" spans="1:5" ht="15.75" hidden="1">
      <c r="A316" s="628"/>
      <c r="B316" s="634">
        <v>55</v>
      </c>
      <c r="C316" s="589" t="s">
        <v>551</v>
      </c>
      <c r="D316" s="631"/>
      <c r="E316" s="591"/>
    </row>
    <row r="317" spans="1:5" ht="15.75" hidden="1">
      <c r="A317" s="628"/>
      <c r="B317" s="634"/>
      <c r="C317" s="589" t="s">
        <v>848</v>
      </c>
      <c r="D317" s="631"/>
      <c r="E317" s="591"/>
    </row>
    <row r="318" spans="1:5" ht="15.75" hidden="1">
      <c r="A318" s="650"/>
      <c r="B318" s="678"/>
      <c r="C318" s="652" t="s">
        <v>849</v>
      </c>
      <c r="D318" s="653"/>
      <c r="E318" s="591"/>
    </row>
    <row r="319" spans="1:5" ht="16.5" hidden="1" thickBot="1">
      <c r="A319" s="637"/>
      <c r="B319" s="638"/>
      <c r="C319" s="639" t="s">
        <v>830</v>
      </c>
      <c r="D319" s="640">
        <f>SUM(D315:D318)</f>
        <v>0</v>
      </c>
      <c r="E319" s="591"/>
    </row>
    <row r="320" spans="1:5" ht="15.75" hidden="1">
      <c r="A320" s="628"/>
      <c r="B320" s="629"/>
      <c r="C320" s="679"/>
      <c r="D320" s="649"/>
      <c r="E320" s="591"/>
    </row>
    <row r="321" spans="1:5" ht="15.75" hidden="1">
      <c r="A321" s="680" t="s">
        <v>433</v>
      </c>
      <c r="B321" s="629"/>
      <c r="C321" s="630" t="s">
        <v>920</v>
      </c>
      <c r="D321" s="649"/>
      <c r="E321" s="591"/>
    </row>
    <row r="322" spans="1:7" ht="15.75" hidden="1">
      <c r="A322" s="628"/>
      <c r="B322" s="629"/>
      <c r="C322" s="630"/>
      <c r="D322" s="649"/>
      <c r="E322" s="591"/>
      <c r="F322" s="172"/>
      <c r="G322" s="172"/>
    </row>
    <row r="323" spans="1:7" ht="15.75" hidden="1">
      <c r="A323" s="650"/>
      <c r="B323" s="678">
        <v>4</v>
      </c>
      <c r="C323" s="652" t="s">
        <v>870</v>
      </c>
      <c r="D323" s="631"/>
      <c r="E323" s="591"/>
      <c r="F323" s="172"/>
      <c r="G323" s="172"/>
    </row>
    <row r="324" spans="1:7" ht="16.5" hidden="1" thickBot="1">
      <c r="A324" s="637"/>
      <c r="B324" s="638"/>
      <c r="C324" s="639" t="s">
        <v>830</v>
      </c>
      <c r="D324" s="640">
        <f>SUM(D323:D323)</f>
        <v>0</v>
      </c>
      <c r="E324" s="591"/>
      <c r="F324" s="172"/>
      <c r="G324" s="172"/>
    </row>
    <row r="325" spans="1:7" ht="15.75" hidden="1">
      <c r="A325" s="641"/>
      <c r="B325" s="642"/>
      <c r="C325" s="682"/>
      <c r="D325" s="649"/>
      <c r="E325" s="591"/>
      <c r="F325" s="172"/>
      <c r="G325" s="172"/>
    </row>
    <row r="326" spans="1:7" ht="15.75" hidden="1">
      <c r="A326" s="683"/>
      <c r="B326" s="684"/>
      <c r="C326" s="685" t="s">
        <v>921</v>
      </c>
      <c r="D326" s="686">
        <f>D328+D333+D337+D339+D348</f>
        <v>8000178</v>
      </c>
      <c r="E326" s="591"/>
      <c r="F326" s="591"/>
      <c r="G326" s="591"/>
    </row>
    <row r="327" spans="1:7" ht="15.75" hidden="1">
      <c r="A327" s="650"/>
      <c r="B327" s="651"/>
      <c r="C327" s="687"/>
      <c r="D327" s="786"/>
      <c r="E327" s="591"/>
      <c r="F327" s="591"/>
      <c r="G327" s="172"/>
    </row>
    <row r="328" spans="1:7" ht="16.5" hidden="1" thickBot="1">
      <c r="A328" s="637" t="s">
        <v>437</v>
      </c>
      <c r="B328" s="617">
        <v>55</v>
      </c>
      <c r="C328" s="873" t="s">
        <v>853</v>
      </c>
      <c r="D328" s="658">
        <v>7600178</v>
      </c>
      <c r="E328" s="591"/>
      <c r="F328" s="591"/>
      <c r="G328" s="591"/>
    </row>
    <row r="329" spans="1:7" ht="15.75" hidden="1">
      <c r="A329" s="641"/>
      <c r="B329" s="691"/>
      <c r="C329" s="692"/>
      <c r="D329" s="693"/>
      <c r="E329" s="591"/>
      <c r="F329" s="172"/>
      <c r="G329" s="172"/>
    </row>
    <row r="330" spans="1:7" ht="15.75" hidden="1">
      <c r="A330" s="628" t="s">
        <v>479</v>
      </c>
      <c r="B330" s="625"/>
      <c r="C330" s="694" t="s">
        <v>922</v>
      </c>
      <c r="D330" s="693"/>
      <c r="E330" s="591"/>
      <c r="F330" s="172"/>
      <c r="G330" s="172"/>
    </row>
    <row r="331" spans="1:7" ht="15.75" hidden="1">
      <c r="A331" s="628"/>
      <c r="B331" s="625">
        <v>50</v>
      </c>
      <c r="C331" s="695" t="s">
        <v>828</v>
      </c>
      <c r="D331" s="660"/>
      <c r="E331" s="591"/>
      <c r="F331" s="172"/>
      <c r="G331" s="172"/>
    </row>
    <row r="332" spans="1:7" ht="15.75" hidden="1">
      <c r="A332" s="635"/>
      <c r="B332" s="624">
        <v>55</v>
      </c>
      <c r="C332" s="589" t="s">
        <v>551</v>
      </c>
      <c r="D332" s="696"/>
      <c r="E332" s="591"/>
      <c r="F332" s="172"/>
      <c r="G332" s="172"/>
    </row>
    <row r="333" spans="1:7" ht="16.5" hidden="1" thickBot="1">
      <c r="A333" s="637"/>
      <c r="B333" s="617"/>
      <c r="C333" s="639" t="s">
        <v>830</v>
      </c>
      <c r="D333" s="658">
        <f>SUM(D331:D332)</f>
        <v>0</v>
      </c>
      <c r="E333" s="591"/>
      <c r="F333" s="172"/>
      <c r="G333" s="172"/>
    </row>
    <row r="334" spans="1:7" ht="15.75" hidden="1">
      <c r="A334" s="635"/>
      <c r="B334" s="612"/>
      <c r="C334" s="647"/>
      <c r="D334" s="708"/>
      <c r="E334" s="591"/>
      <c r="F334" s="172"/>
      <c r="G334" s="172"/>
    </row>
    <row r="335" spans="1:7" ht="16.5" hidden="1" thickBot="1">
      <c r="A335" s="665" t="s">
        <v>483</v>
      </c>
      <c r="B335" s="617"/>
      <c r="C335" s="874" t="s">
        <v>484</v>
      </c>
      <c r="D335" s="658"/>
      <c r="E335" s="591"/>
      <c r="F335" s="172"/>
      <c r="G335" s="172"/>
    </row>
    <row r="336" spans="1:7" ht="15.75" hidden="1">
      <c r="A336" s="650"/>
      <c r="B336" s="651"/>
      <c r="C336" s="875"/>
      <c r="D336" s="708"/>
      <c r="E336" s="591"/>
      <c r="F336" s="172"/>
      <c r="G336" s="172"/>
    </row>
    <row r="337" spans="1:7" ht="16.5" hidden="1" thickBot="1">
      <c r="A337" s="665" t="s">
        <v>498</v>
      </c>
      <c r="B337" s="617">
        <v>55</v>
      </c>
      <c r="C337" s="874" t="s">
        <v>499</v>
      </c>
      <c r="D337" s="658"/>
      <c r="E337" s="591"/>
      <c r="F337" s="172"/>
      <c r="G337" s="172"/>
    </row>
    <row r="338" spans="1:8" ht="15.75" hidden="1">
      <c r="A338" s="635"/>
      <c r="B338" s="612"/>
      <c r="C338" s="647"/>
      <c r="D338" s="711"/>
      <c r="E338" s="591"/>
      <c r="F338" s="172"/>
      <c r="G338" s="172"/>
      <c r="H338" s="172"/>
    </row>
    <row r="339" spans="1:8" ht="16.5" hidden="1" thickBot="1">
      <c r="A339" s="665" t="s">
        <v>498</v>
      </c>
      <c r="B339" s="617">
        <v>55</v>
      </c>
      <c r="C339" s="874" t="s">
        <v>511</v>
      </c>
      <c r="D339" s="658"/>
      <c r="E339" s="719"/>
      <c r="F339" s="720"/>
      <c r="G339" s="725"/>
      <c r="H339" s="714"/>
    </row>
    <row r="340" spans="1:8" ht="15.75" hidden="1">
      <c r="A340" s="715"/>
      <c r="B340" s="785"/>
      <c r="C340" s="876"/>
      <c r="D340" s="718"/>
      <c r="E340" s="719"/>
      <c r="F340" s="720"/>
      <c r="G340" s="725"/>
      <c r="H340" s="714"/>
    </row>
    <row r="341" spans="1:8" ht="15.75" hidden="1">
      <c r="A341" s="629" t="s">
        <v>514</v>
      </c>
      <c r="B341" s="877"/>
      <c r="C341" s="878" t="s">
        <v>923</v>
      </c>
      <c r="D341" s="761"/>
      <c r="E341" s="719"/>
      <c r="F341" s="879"/>
      <c r="G341" s="725"/>
      <c r="H341" s="714"/>
    </row>
    <row r="342" spans="1:8" ht="15.75" hidden="1">
      <c r="A342" s="629"/>
      <c r="B342" s="624"/>
      <c r="C342" s="632"/>
      <c r="D342" s="761"/>
      <c r="E342" s="719"/>
      <c r="F342" s="720"/>
      <c r="G342" s="725"/>
      <c r="H342" s="714"/>
    </row>
    <row r="343" spans="1:8" ht="15.75" hidden="1">
      <c r="A343" s="880"/>
      <c r="B343" s="624">
        <v>50</v>
      </c>
      <c r="C343" s="589" t="s">
        <v>828</v>
      </c>
      <c r="D343" s="764">
        <v>31892</v>
      </c>
      <c r="E343" s="719"/>
      <c r="F343" s="720"/>
      <c r="G343" s="725"/>
      <c r="H343" s="714"/>
    </row>
    <row r="344" spans="1:8" ht="15.75" hidden="1">
      <c r="A344" s="629"/>
      <c r="B344" s="624">
        <v>55</v>
      </c>
      <c r="C344" s="589" t="s">
        <v>551</v>
      </c>
      <c r="D344" s="764">
        <v>368108</v>
      </c>
      <c r="E344" s="719"/>
      <c r="F344" s="720"/>
      <c r="G344" s="725"/>
      <c r="H344" s="714"/>
    </row>
    <row r="345" spans="1:8" ht="15.75" hidden="1">
      <c r="A345" s="629"/>
      <c r="B345" s="624">
        <v>4</v>
      </c>
      <c r="C345" s="589" t="s">
        <v>870</v>
      </c>
      <c r="D345" s="764"/>
      <c r="E345" s="719"/>
      <c r="F345" s="720"/>
      <c r="G345" s="725"/>
      <c r="H345" s="714"/>
    </row>
    <row r="346" spans="1:8" ht="15.75" hidden="1">
      <c r="A346" s="629"/>
      <c r="B346" s="624">
        <v>6</v>
      </c>
      <c r="C346" s="589" t="s">
        <v>829</v>
      </c>
      <c r="D346" s="764"/>
      <c r="E346" s="719"/>
      <c r="F346" s="720"/>
      <c r="G346" s="725"/>
      <c r="H346" s="714"/>
    </row>
    <row r="347" spans="1:8" ht="15.75" hidden="1">
      <c r="A347" s="629"/>
      <c r="B347" s="624">
        <v>15</v>
      </c>
      <c r="C347" s="589" t="s">
        <v>856</v>
      </c>
      <c r="D347" s="764"/>
      <c r="E347" s="719"/>
      <c r="F347" s="720"/>
      <c r="G347" s="725"/>
      <c r="H347" s="714"/>
    </row>
    <row r="348" spans="1:8" ht="16.5" hidden="1" thickBot="1">
      <c r="A348" s="784"/>
      <c r="B348" s="606"/>
      <c r="C348" s="701" t="s">
        <v>830</v>
      </c>
      <c r="D348" s="701">
        <f>SUM(D343:D347)</f>
        <v>400000</v>
      </c>
      <c r="E348" s="719"/>
      <c r="F348" s="720"/>
      <c r="G348" s="725"/>
      <c r="H348" s="714"/>
    </row>
    <row r="349" spans="1:8" ht="16.5" hidden="1" thickBot="1">
      <c r="A349" s="721"/>
      <c r="B349" s="881"/>
      <c r="C349" s="882"/>
      <c r="D349" s="724"/>
      <c r="E349" s="719"/>
      <c r="F349" s="720"/>
      <c r="G349" s="725"/>
      <c r="H349" s="714"/>
    </row>
    <row r="350" spans="1:8" ht="16.5" hidden="1" thickBot="1">
      <c r="A350" s="726" t="s">
        <v>521</v>
      </c>
      <c r="B350" s="727"/>
      <c r="C350" s="728" t="s">
        <v>525</v>
      </c>
      <c r="D350" s="729">
        <f>D352+D354+D360</f>
        <v>0</v>
      </c>
      <c r="E350" s="719"/>
      <c r="F350" s="720"/>
      <c r="G350" s="725"/>
      <c r="H350" s="714"/>
    </row>
    <row r="351" spans="1:8" ht="15.75" hidden="1">
      <c r="A351" s="731"/>
      <c r="B351" s="883"/>
      <c r="C351" s="884"/>
      <c r="D351" s="734"/>
      <c r="E351" s="719"/>
      <c r="F351" s="720"/>
      <c r="G351" s="725"/>
      <c r="H351" s="714"/>
    </row>
    <row r="352" spans="1:8" ht="15.75" hidden="1">
      <c r="A352" s="735"/>
      <c r="B352" s="740">
        <v>55</v>
      </c>
      <c r="C352" s="885" t="s">
        <v>527</v>
      </c>
      <c r="D352" s="702"/>
      <c r="E352" s="719"/>
      <c r="F352" s="720"/>
      <c r="G352" s="725"/>
      <c r="H352" s="714"/>
    </row>
    <row r="353" spans="1:8" ht="15.75" hidden="1">
      <c r="A353" s="735"/>
      <c r="B353" s="740">
        <v>55</v>
      </c>
      <c r="C353" s="885" t="s">
        <v>924</v>
      </c>
      <c r="D353" s="702"/>
      <c r="E353" s="719"/>
      <c r="F353" s="720"/>
      <c r="G353" s="725"/>
      <c r="H353" s="714"/>
    </row>
    <row r="354" spans="1:8" ht="15.75" hidden="1">
      <c r="A354" s="735"/>
      <c r="B354" s="740"/>
      <c r="C354" s="885" t="s">
        <v>860</v>
      </c>
      <c r="D354" s="702">
        <f>SUM(D355:D359)</f>
        <v>0</v>
      </c>
      <c r="E354" s="719"/>
      <c r="F354" s="720"/>
      <c r="G354" s="725"/>
      <c r="H354" s="714"/>
    </row>
    <row r="355" spans="1:8" ht="15.75" hidden="1">
      <c r="A355" s="735"/>
      <c r="B355" s="740"/>
      <c r="C355" s="886" t="s">
        <v>535</v>
      </c>
      <c r="D355" s="739"/>
      <c r="E355" s="719"/>
      <c r="F355" s="720"/>
      <c r="G355" s="725"/>
      <c r="H355" s="714"/>
    </row>
    <row r="356" spans="1:8" ht="15.75" hidden="1">
      <c r="A356" s="735"/>
      <c r="B356" s="740"/>
      <c r="C356" s="886" t="s">
        <v>925</v>
      </c>
      <c r="D356" s="739"/>
      <c r="E356" s="719"/>
      <c r="F356" s="720"/>
      <c r="G356" s="725"/>
      <c r="H356" s="714"/>
    </row>
    <row r="357" spans="1:8" ht="15.75" hidden="1">
      <c r="A357" s="735"/>
      <c r="B357" s="740"/>
      <c r="C357" s="886" t="s">
        <v>862</v>
      </c>
      <c r="D357" s="739"/>
      <c r="E357" s="719"/>
      <c r="F357" s="720"/>
      <c r="G357" s="725"/>
      <c r="H357" s="714"/>
    </row>
    <row r="358" spans="1:8" ht="15.75" hidden="1">
      <c r="A358" s="735"/>
      <c r="B358" s="740"/>
      <c r="C358" s="886" t="s">
        <v>863</v>
      </c>
      <c r="D358" s="739"/>
      <c r="E358" s="719"/>
      <c r="F358" s="720"/>
      <c r="G358" s="725"/>
      <c r="H358" s="714"/>
    </row>
    <row r="359" spans="1:8" ht="15.75" hidden="1">
      <c r="A359" s="735"/>
      <c r="B359" s="740"/>
      <c r="C359" s="886" t="s">
        <v>864</v>
      </c>
      <c r="D359" s="739"/>
      <c r="E359" s="719"/>
      <c r="F359" s="720"/>
      <c r="G359" s="725"/>
      <c r="H359" s="714"/>
    </row>
    <row r="360" spans="1:8" ht="15.75" hidden="1">
      <c r="A360" s="735"/>
      <c r="B360" s="740">
        <v>55</v>
      </c>
      <c r="C360" s="885" t="s">
        <v>926</v>
      </c>
      <c r="D360" s="702"/>
      <c r="E360" s="719"/>
      <c r="F360" s="720"/>
      <c r="G360" s="725"/>
      <c r="H360" s="714"/>
    </row>
    <row r="361" spans="1:8" ht="16.5" hidden="1" thickBot="1">
      <c r="A361" s="854" t="s">
        <v>540</v>
      </c>
      <c r="B361" s="887"/>
      <c r="C361" s="888" t="s">
        <v>867</v>
      </c>
      <c r="D361" s="864">
        <f>D370+D374+D386+D396+D401+D394+D372</f>
        <v>890139</v>
      </c>
      <c r="E361" s="591"/>
      <c r="F361" s="172"/>
      <c r="G361" s="172"/>
      <c r="H361" s="172"/>
    </row>
    <row r="362" spans="1:8" ht="15.75" hidden="1">
      <c r="A362" s="641"/>
      <c r="B362" s="691"/>
      <c r="C362" s="889"/>
      <c r="D362" s="795"/>
      <c r="E362" s="591"/>
      <c r="F362" s="172"/>
      <c r="G362" s="172"/>
      <c r="H362" s="172"/>
    </row>
    <row r="363" spans="1:8" ht="15.75" hidden="1">
      <c r="A363" s="628" t="s">
        <v>558</v>
      </c>
      <c r="B363" s="625"/>
      <c r="C363" s="760" t="s">
        <v>869</v>
      </c>
      <c r="D363" s="761"/>
      <c r="E363" s="591"/>
      <c r="F363" s="172"/>
      <c r="G363" s="172"/>
      <c r="H363" s="172"/>
    </row>
    <row r="364" spans="1:8" ht="15.75" hidden="1">
      <c r="A364" s="628"/>
      <c r="B364" s="625"/>
      <c r="C364" s="762"/>
      <c r="D364" s="761"/>
      <c r="E364" s="591"/>
      <c r="F364" s="172"/>
      <c r="G364" s="172"/>
      <c r="H364" s="172"/>
    </row>
    <row r="365" spans="1:8" ht="15.75" hidden="1">
      <c r="A365" s="633"/>
      <c r="B365" s="625">
        <v>50</v>
      </c>
      <c r="C365" s="763" t="s">
        <v>828</v>
      </c>
      <c r="D365" s="764">
        <v>11188</v>
      </c>
      <c r="E365" s="591"/>
      <c r="F365" s="172"/>
      <c r="G365" s="172"/>
      <c r="H365" s="172"/>
    </row>
    <row r="366" spans="1:8" ht="15.75" hidden="1">
      <c r="A366" s="765"/>
      <c r="B366" s="740">
        <v>55</v>
      </c>
      <c r="C366" s="766" t="s">
        <v>551</v>
      </c>
      <c r="D366" s="764">
        <v>50000</v>
      </c>
      <c r="E366" s="591"/>
      <c r="F366" s="172"/>
      <c r="G366" s="172"/>
      <c r="H366" s="172"/>
    </row>
    <row r="367" spans="1:8" ht="15.75" hidden="1">
      <c r="A367" s="765"/>
      <c r="B367" s="740">
        <v>4</v>
      </c>
      <c r="C367" s="766" t="s">
        <v>870</v>
      </c>
      <c r="D367" s="764"/>
      <c r="E367" s="591"/>
      <c r="F367" s="172"/>
      <c r="G367" s="172"/>
      <c r="H367" s="172"/>
    </row>
    <row r="368" spans="1:8" ht="15.75" hidden="1">
      <c r="A368" s="765"/>
      <c r="B368" s="740">
        <v>6</v>
      </c>
      <c r="C368" s="766" t="s">
        <v>829</v>
      </c>
      <c r="D368" s="764"/>
      <c r="E368" s="591"/>
      <c r="F368" s="591"/>
      <c r="G368" s="172"/>
      <c r="H368" s="172"/>
    </row>
    <row r="369" spans="1:8" ht="16.5" hidden="1" thickBot="1">
      <c r="A369" s="635"/>
      <c r="B369" s="612">
        <v>15</v>
      </c>
      <c r="C369" s="767" t="s">
        <v>856</v>
      </c>
      <c r="D369" s="768"/>
      <c r="E369" s="591"/>
      <c r="F369" s="172"/>
      <c r="G369" s="172"/>
      <c r="H369" s="172"/>
    </row>
    <row r="370" spans="1:5" ht="16.5" hidden="1" thickBot="1">
      <c r="A370" s="637"/>
      <c r="B370" s="617"/>
      <c r="C370" s="639" t="s">
        <v>830</v>
      </c>
      <c r="D370" s="640">
        <f>SUM(D365:D369)</f>
        <v>61188</v>
      </c>
      <c r="E370" s="591"/>
    </row>
    <row r="371" spans="1:5" ht="15.75" hidden="1">
      <c r="A371" s="769"/>
      <c r="B371" s="612"/>
      <c r="C371" s="697"/>
      <c r="D371" s="770"/>
      <c r="E371" s="591"/>
    </row>
    <row r="372" spans="1:5" ht="16.5" hidden="1" thickBot="1">
      <c r="A372" s="637" t="s">
        <v>562</v>
      </c>
      <c r="B372" s="704"/>
      <c r="C372" s="639" t="s">
        <v>871</v>
      </c>
      <c r="D372" s="640"/>
      <c r="E372" s="591"/>
    </row>
    <row r="373" spans="1:5" ht="15.75" hidden="1">
      <c r="A373" s="635"/>
      <c r="B373" s="612"/>
      <c r="C373" s="647"/>
      <c r="D373" s="648"/>
      <c r="E373" s="591"/>
    </row>
    <row r="374" spans="1:5" ht="16.5" hidden="1" thickBot="1">
      <c r="A374" s="666" t="s">
        <v>566</v>
      </c>
      <c r="B374" s="771">
        <v>4</v>
      </c>
      <c r="C374" s="772" t="s">
        <v>872</v>
      </c>
      <c r="D374" s="772">
        <f>D377+D376</f>
        <v>0</v>
      </c>
      <c r="E374" s="591"/>
    </row>
    <row r="375" spans="1:5" ht="15.75" hidden="1">
      <c r="A375" s="776"/>
      <c r="B375" s="890"/>
      <c r="C375" s="790"/>
      <c r="D375" s="790"/>
      <c r="E375" s="591"/>
    </row>
    <row r="376" spans="1:5" ht="15.75" hidden="1">
      <c r="A376" s="629"/>
      <c r="B376" s="777">
        <v>55</v>
      </c>
      <c r="C376" s="589" t="s">
        <v>551</v>
      </c>
      <c r="D376" s="764"/>
      <c r="E376" s="591"/>
    </row>
    <row r="377" spans="1:5" ht="15.75" hidden="1">
      <c r="A377" s="629"/>
      <c r="B377" s="777">
        <v>4</v>
      </c>
      <c r="C377" s="589" t="s">
        <v>870</v>
      </c>
      <c r="D377" s="764"/>
      <c r="E377" s="591"/>
    </row>
    <row r="378" spans="1:5" ht="15.75" hidden="1">
      <c r="A378" s="642"/>
      <c r="B378" s="779"/>
      <c r="C378" s="643"/>
      <c r="D378" s="780"/>
      <c r="E378" s="591"/>
    </row>
    <row r="379" spans="1:5" ht="15.75" hidden="1">
      <c r="A379" s="629" t="s">
        <v>570</v>
      </c>
      <c r="B379" s="777"/>
      <c r="C379" s="630" t="s">
        <v>873</v>
      </c>
      <c r="D379" s="761"/>
      <c r="E379" s="591"/>
    </row>
    <row r="380" spans="1:5" ht="15.75" hidden="1">
      <c r="A380" s="629"/>
      <c r="B380" s="781"/>
      <c r="C380" s="632"/>
      <c r="D380" s="761"/>
      <c r="E380" s="591"/>
    </row>
    <row r="381" spans="1:5" ht="15.75" hidden="1">
      <c r="A381" s="629"/>
      <c r="B381" s="777">
        <v>50</v>
      </c>
      <c r="C381" s="589" t="s">
        <v>828</v>
      </c>
      <c r="D381" s="764">
        <f>4907+1</f>
        <v>4908</v>
      </c>
      <c r="E381" s="591"/>
    </row>
    <row r="382" spans="1:5" ht="15.75" hidden="1">
      <c r="A382" s="782"/>
      <c r="B382" s="783">
        <v>55</v>
      </c>
      <c r="C382" s="652" t="s">
        <v>551</v>
      </c>
      <c r="D382" s="891">
        <v>332918</v>
      </c>
      <c r="E382" s="591"/>
    </row>
    <row r="383" spans="1:5" ht="15.75" hidden="1">
      <c r="A383" s="765"/>
      <c r="B383" s="740">
        <v>6</v>
      </c>
      <c r="C383" s="702" t="s">
        <v>829</v>
      </c>
      <c r="D383" s="892"/>
      <c r="E383" s="591"/>
    </row>
    <row r="384" spans="1:5" ht="15.75" hidden="1">
      <c r="A384" s="765"/>
      <c r="B384" s="625">
        <v>15</v>
      </c>
      <c r="C384" s="589" t="s">
        <v>836</v>
      </c>
      <c r="D384" s="892">
        <v>120000</v>
      </c>
      <c r="E384" s="591"/>
    </row>
    <row r="385" spans="1:5" ht="15.75" hidden="1">
      <c r="A385" s="765"/>
      <c r="B385" s="651"/>
      <c r="C385" s="652" t="s">
        <v>837</v>
      </c>
      <c r="D385" s="892"/>
      <c r="E385" s="591"/>
    </row>
    <row r="386" spans="1:5" ht="16.5" hidden="1" thickBot="1">
      <c r="A386" s="893"/>
      <c r="B386" s="784"/>
      <c r="C386" s="701" t="s">
        <v>830</v>
      </c>
      <c r="D386" s="894">
        <f>SUM(D381:D384)</f>
        <v>457826</v>
      </c>
      <c r="E386" s="591"/>
    </row>
    <row r="387" spans="1:5" ht="15.75" hidden="1">
      <c r="A387" s="628"/>
      <c r="B387" s="629"/>
      <c r="C387" s="589"/>
      <c r="D387" s="649"/>
      <c r="E387" s="591"/>
    </row>
    <row r="388" spans="1:5" ht="15.75" hidden="1">
      <c r="A388" s="628" t="s">
        <v>572</v>
      </c>
      <c r="B388" s="629"/>
      <c r="C388" s="630" t="s">
        <v>874</v>
      </c>
      <c r="D388" s="649"/>
      <c r="E388" s="591"/>
    </row>
    <row r="389" spans="1:5" ht="15.75" hidden="1">
      <c r="A389" s="628"/>
      <c r="B389" s="629"/>
      <c r="C389" s="632"/>
      <c r="D389" s="649"/>
      <c r="E389" s="591"/>
    </row>
    <row r="390" spans="1:5" ht="15.75" hidden="1">
      <c r="A390" s="633"/>
      <c r="B390" s="625">
        <v>50</v>
      </c>
      <c r="C390" s="589" t="s">
        <v>828</v>
      </c>
      <c r="D390" s="631"/>
      <c r="E390" s="591"/>
    </row>
    <row r="391" spans="1:5" ht="15.75" hidden="1">
      <c r="A391" s="628"/>
      <c r="B391" s="651">
        <v>55</v>
      </c>
      <c r="C391" s="589" t="s">
        <v>551</v>
      </c>
      <c r="D391" s="631">
        <v>150000</v>
      </c>
      <c r="E391" s="591"/>
    </row>
    <row r="392" spans="1:5" ht="15.75" hidden="1">
      <c r="A392" s="635"/>
      <c r="B392" s="612">
        <v>4</v>
      </c>
      <c r="C392" s="636" t="s">
        <v>870</v>
      </c>
      <c r="D392" s="613"/>
      <c r="E392" s="591"/>
    </row>
    <row r="393" spans="1:5" ht="15.75" hidden="1">
      <c r="A393" s="635"/>
      <c r="B393" s="612">
        <v>45</v>
      </c>
      <c r="C393" s="636" t="s">
        <v>875</v>
      </c>
      <c r="D393" s="613" t="s">
        <v>220</v>
      </c>
      <c r="E393" s="591"/>
    </row>
    <row r="394" spans="1:5" ht="16.5" hidden="1" thickBot="1">
      <c r="A394" s="637"/>
      <c r="B394" s="638"/>
      <c r="C394" s="639" t="s">
        <v>830</v>
      </c>
      <c r="D394" s="640">
        <f>SUM(D390:D393)</f>
        <v>150000</v>
      </c>
      <c r="E394" s="591"/>
    </row>
    <row r="395" spans="1:5" ht="15.75" hidden="1">
      <c r="A395" s="641"/>
      <c r="B395" s="642"/>
      <c r="C395" s="643"/>
      <c r="D395" s="786"/>
      <c r="E395" s="591"/>
    </row>
    <row r="396" spans="1:5" ht="16.5" hidden="1" thickBot="1">
      <c r="A396" s="638" t="s">
        <v>588</v>
      </c>
      <c r="B396" s="787"/>
      <c r="C396" s="756" t="s">
        <v>876</v>
      </c>
      <c r="D396" s="772">
        <f>D398+D399</f>
        <v>221125</v>
      </c>
      <c r="E396" s="591"/>
    </row>
    <row r="397" spans="1:5" ht="15.75" hidden="1">
      <c r="A397" s="642"/>
      <c r="B397" s="788"/>
      <c r="C397" s="789"/>
      <c r="D397" s="790"/>
      <c r="E397" s="591"/>
    </row>
    <row r="398" spans="1:5" ht="15.75" hidden="1">
      <c r="A398" s="629"/>
      <c r="B398" s="791">
        <v>55</v>
      </c>
      <c r="C398" s="766" t="s">
        <v>551</v>
      </c>
      <c r="D398" s="764">
        <v>221125</v>
      </c>
      <c r="E398" s="591"/>
    </row>
    <row r="399" spans="1:5" ht="15.75" hidden="1">
      <c r="A399" s="629"/>
      <c r="B399" s="791">
        <v>4</v>
      </c>
      <c r="C399" s="766" t="s">
        <v>870</v>
      </c>
      <c r="D399" s="764"/>
      <c r="E399" s="591"/>
    </row>
    <row r="400" spans="1:5" ht="15.75" hidden="1">
      <c r="A400" s="635"/>
      <c r="B400" s="655"/>
      <c r="C400" s="647"/>
      <c r="D400" s="786"/>
      <c r="E400" s="591"/>
    </row>
    <row r="401" spans="1:5" ht="16.5" hidden="1" thickBot="1">
      <c r="A401" s="637" t="s">
        <v>590</v>
      </c>
      <c r="B401" s="617">
        <v>4</v>
      </c>
      <c r="C401" s="639" t="s">
        <v>877</v>
      </c>
      <c r="D401" s="658"/>
      <c r="E401" s="591"/>
    </row>
    <row r="402" spans="1:8" ht="15.75" hidden="1">
      <c r="A402" s="641"/>
      <c r="B402" s="642"/>
      <c r="C402" s="692"/>
      <c r="D402" s="812"/>
      <c r="E402" s="591"/>
      <c r="F402" s="172"/>
      <c r="G402" s="172"/>
      <c r="H402" s="172"/>
    </row>
    <row r="403" spans="1:8" ht="15.75" hidden="1">
      <c r="A403" s="683" t="s">
        <v>927</v>
      </c>
      <c r="B403" s="684"/>
      <c r="C403" s="685" t="s">
        <v>601</v>
      </c>
      <c r="D403" s="686">
        <f>D433+D416+D454+D456+D445+D439</f>
        <v>38587049</v>
      </c>
      <c r="E403" s="623"/>
      <c r="F403" s="172"/>
      <c r="G403" s="591"/>
      <c r="H403" s="172"/>
    </row>
    <row r="404" spans="1:8" ht="15.75" hidden="1">
      <c r="A404" s="628"/>
      <c r="B404" s="629"/>
      <c r="C404" s="694"/>
      <c r="D404" s="649"/>
      <c r="E404" s="591"/>
      <c r="F404" s="172"/>
      <c r="G404" s="172"/>
      <c r="H404" s="172"/>
    </row>
    <row r="405" spans="1:8" ht="15.75" hidden="1">
      <c r="A405" s="628" t="s">
        <v>602</v>
      </c>
      <c r="B405" s="629"/>
      <c r="C405" s="694" t="s">
        <v>878</v>
      </c>
      <c r="D405" s="649"/>
      <c r="E405" s="591"/>
      <c r="F405" s="172"/>
      <c r="G405" s="172"/>
      <c r="H405" s="172"/>
    </row>
    <row r="406" spans="1:8" ht="15.75" hidden="1">
      <c r="A406" s="628"/>
      <c r="B406" s="629"/>
      <c r="C406" s="694"/>
      <c r="D406" s="649"/>
      <c r="E406" s="895" t="s">
        <v>879</v>
      </c>
      <c r="F406" s="896" t="s">
        <v>880</v>
      </c>
      <c r="G406" s="896" t="s">
        <v>881</v>
      </c>
      <c r="H406" s="897" t="s">
        <v>333</v>
      </c>
    </row>
    <row r="407" spans="1:8" ht="15.75" hidden="1">
      <c r="A407" s="628"/>
      <c r="B407" s="634">
        <v>50</v>
      </c>
      <c r="C407" s="800" t="s">
        <v>828</v>
      </c>
      <c r="D407" s="631">
        <f>H407</f>
        <v>1654127</v>
      </c>
      <c r="E407" s="895">
        <v>503921</v>
      </c>
      <c r="F407" s="898">
        <v>894291</v>
      </c>
      <c r="G407" s="898">
        <v>255915</v>
      </c>
      <c r="H407" s="816">
        <f>E407+F407+G407</f>
        <v>1654127</v>
      </c>
    </row>
    <row r="408" spans="1:8" ht="15.75" hidden="1">
      <c r="A408" s="628"/>
      <c r="B408" s="634">
        <v>55</v>
      </c>
      <c r="C408" s="695" t="s">
        <v>551</v>
      </c>
      <c r="D408" s="631">
        <f>H408</f>
        <v>972063</v>
      </c>
      <c r="E408" s="895">
        <f>405098</f>
        <v>405098</v>
      </c>
      <c r="F408" s="898">
        <v>419836</v>
      </c>
      <c r="G408" s="898">
        <v>147129</v>
      </c>
      <c r="H408" s="816">
        <f aca="true" t="shared" si="2" ref="H408:H415">E408+F408+G408</f>
        <v>972063</v>
      </c>
    </row>
    <row r="409" spans="1:8" ht="15.75" hidden="1">
      <c r="A409" s="628"/>
      <c r="B409" s="634"/>
      <c r="C409" s="589" t="s">
        <v>611</v>
      </c>
      <c r="D409" s="631"/>
      <c r="E409" s="895"/>
      <c r="F409" s="898"/>
      <c r="G409" s="898"/>
      <c r="H409" s="816">
        <f t="shared" si="2"/>
        <v>0</v>
      </c>
    </row>
    <row r="410" spans="1:8" ht="15.75" hidden="1">
      <c r="A410" s="628"/>
      <c r="B410" s="634">
        <v>55</v>
      </c>
      <c r="C410" s="695" t="s">
        <v>882</v>
      </c>
      <c r="D410" s="631"/>
      <c r="E410" s="895"/>
      <c r="F410" s="898"/>
      <c r="G410" s="898"/>
      <c r="H410" s="816">
        <f t="shared" si="2"/>
        <v>0</v>
      </c>
    </row>
    <row r="411" spans="1:8" ht="15.75" hidden="1">
      <c r="A411" s="650"/>
      <c r="B411" s="678"/>
      <c r="C411" s="817" t="s">
        <v>883</v>
      </c>
      <c r="D411" s="631"/>
      <c r="E411" s="895"/>
      <c r="F411" s="898"/>
      <c r="G411" s="898"/>
      <c r="H411" s="816">
        <f t="shared" si="2"/>
        <v>0</v>
      </c>
    </row>
    <row r="412" spans="1:8" ht="15.75" hidden="1">
      <c r="A412" s="650"/>
      <c r="B412" s="612">
        <v>6</v>
      </c>
      <c r="C412" s="636" t="s">
        <v>829</v>
      </c>
      <c r="D412" s="631">
        <f>H412</f>
        <v>0</v>
      </c>
      <c r="E412" s="895"/>
      <c r="F412" s="898"/>
      <c r="G412" s="898"/>
      <c r="H412" s="816">
        <f t="shared" si="2"/>
        <v>0</v>
      </c>
    </row>
    <row r="413" spans="1:8" ht="15.75" hidden="1">
      <c r="A413" s="650"/>
      <c r="B413" s="625">
        <v>15</v>
      </c>
      <c r="C413" s="589" t="s">
        <v>836</v>
      </c>
      <c r="D413" s="631">
        <f>H413</f>
        <v>925400</v>
      </c>
      <c r="E413" s="895">
        <v>448000</v>
      </c>
      <c r="F413" s="898">
        <v>200000</v>
      </c>
      <c r="G413" s="898">
        <v>277400</v>
      </c>
      <c r="H413" s="816">
        <f t="shared" si="2"/>
        <v>925400</v>
      </c>
    </row>
    <row r="414" spans="1:8" ht="15.75" hidden="1">
      <c r="A414" s="635"/>
      <c r="B414" s="651"/>
      <c r="C414" s="652" t="s">
        <v>837</v>
      </c>
      <c r="D414" s="631"/>
      <c r="E414" s="895"/>
      <c r="F414" s="898"/>
      <c r="G414" s="898"/>
      <c r="H414" s="816">
        <f t="shared" si="2"/>
        <v>0</v>
      </c>
    </row>
    <row r="415" spans="1:8" ht="15.75" hidden="1">
      <c r="A415" s="635"/>
      <c r="B415" s="612" t="s">
        <v>760</v>
      </c>
      <c r="C415" s="636" t="s">
        <v>884</v>
      </c>
      <c r="D415" s="631">
        <f>H415</f>
        <v>0</v>
      </c>
      <c r="E415" s="895"/>
      <c r="F415" s="898"/>
      <c r="G415" s="898"/>
      <c r="H415" s="816">
        <f t="shared" si="2"/>
        <v>0</v>
      </c>
    </row>
    <row r="416" spans="1:8" ht="16.5" hidden="1" thickBot="1">
      <c r="A416" s="637"/>
      <c r="B416" s="638"/>
      <c r="C416" s="639" t="s">
        <v>830</v>
      </c>
      <c r="D416" s="640">
        <f>SUM(D407:D415)</f>
        <v>3551590</v>
      </c>
      <c r="E416" s="899">
        <f>SUM(E407:E413)</f>
        <v>1357019</v>
      </c>
      <c r="F416" s="900">
        <f>SUM(F407:F415)</f>
        <v>1514127</v>
      </c>
      <c r="G416" s="900">
        <f>SUM(G407:G413)</f>
        <v>680444</v>
      </c>
      <c r="H416" s="822">
        <f>SUM(H407:H413)</f>
        <v>3551590</v>
      </c>
    </row>
    <row r="417" spans="1:8" ht="15.75" hidden="1">
      <c r="A417" s="641"/>
      <c r="B417" s="642"/>
      <c r="C417" s="643"/>
      <c r="D417" s="649"/>
      <c r="E417" s="901"/>
      <c r="F417" s="902"/>
      <c r="G417" s="778"/>
      <c r="H417" s="591"/>
    </row>
    <row r="418" spans="1:9" ht="15.75" hidden="1">
      <c r="A418" s="628" t="s">
        <v>614</v>
      </c>
      <c r="B418" s="629"/>
      <c r="C418" s="811" t="s">
        <v>885</v>
      </c>
      <c r="D418" s="649"/>
      <c r="E418" s="591"/>
      <c r="F418" s="172"/>
      <c r="G418" s="172"/>
      <c r="H418" s="172"/>
      <c r="I418" s="172"/>
    </row>
    <row r="419" spans="1:9" ht="15.75" hidden="1">
      <c r="A419" s="628"/>
      <c r="B419" s="634"/>
      <c r="C419" s="589"/>
      <c r="D419" s="649"/>
      <c r="E419" s="903" t="s">
        <v>886</v>
      </c>
      <c r="F419" s="904" t="s">
        <v>887</v>
      </c>
      <c r="G419" s="904" t="s">
        <v>888</v>
      </c>
      <c r="H419" s="904" t="s">
        <v>333</v>
      </c>
      <c r="I419" s="172"/>
    </row>
    <row r="420" spans="1:9" ht="15.75" hidden="1">
      <c r="A420" s="628"/>
      <c r="B420" s="634">
        <v>50</v>
      </c>
      <c r="C420" s="589" t="s">
        <v>828</v>
      </c>
      <c r="D420" s="631">
        <f>H420</f>
        <v>25807660</v>
      </c>
      <c r="E420" s="815">
        <v>7590116</v>
      </c>
      <c r="F420" s="816">
        <v>4304848</v>
      </c>
      <c r="G420" s="816">
        <v>13912696</v>
      </c>
      <c r="H420" s="816">
        <f>E420+F420+G420</f>
        <v>25807660</v>
      </c>
      <c r="I420" s="172"/>
    </row>
    <row r="421" spans="1:9" ht="15.75" hidden="1">
      <c r="A421" s="628"/>
      <c r="B421" s="634">
        <v>55</v>
      </c>
      <c r="C421" s="589" t="s">
        <v>551</v>
      </c>
      <c r="D421" s="631">
        <f>H421</f>
        <v>2738789</v>
      </c>
      <c r="E421" s="815">
        <v>1147651</v>
      </c>
      <c r="F421" s="816">
        <v>473007</v>
      </c>
      <c r="G421" s="816">
        <v>1118131</v>
      </c>
      <c r="H421" s="816">
        <f aca="true" t="shared" si="3" ref="H421:H433">E421+F421+G421</f>
        <v>2738789</v>
      </c>
      <c r="I421" s="172"/>
    </row>
    <row r="422" spans="1:9" ht="15.75" hidden="1">
      <c r="A422" s="628"/>
      <c r="B422" s="634">
        <v>41</v>
      </c>
      <c r="C422" s="589" t="s">
        <v>889</v>
      </c>
      <c r="D422" s="631">
        <f>H422</f>
        <v>1146200</v>
      </c>
      <c r="E422" s="815">
        <v>358448</v>
      </c>
      <c r="F422" s="816">
        <v>196938</v>
      </c>
      <c r="G422" s="816">
        <v>590814</v>
      </c>
      <c r="H422" s="816">
        <f t="shared" si="3"/>
        <v>1146200</v>
      </c>
      <c r="I422" s="172"/>
    </row>
    <row r="423" spans="1:9" ht="15.75" hidden="1">
      <c r="A423" s="628"/>
      <c r="B423" s="634">
        <v>41</v>
      </c>
      <c r="C423" s="589" t="s">
        <v>890</v>
      </c>
      <c r="D423" s="631"/>
      <c r="E423" s="815"/>
      <c r="F423" s="816"/>
      <c r="G423" s="816"/>
      <c r="H423" s="816">
        <f t="shared" si="3"/>
        <v>0</v>
      </c>
      <c r="I423" s="815">
        <f>D433+D439</f>
        <v>35035459</v>
      </c>
    </row>
    <row r="424" spans="1:9" ht="15.75" hidden="1">
      <c r="A424" s="628"/>
      <c r="B424" s="634">
        <v>55</v>
      </c>
      <c r="C424" s="695" t="s">
        <v>882</v>
      </c>
      <c r="D424" s="631"/>
      <c r="E424" s="815"/>
      <c r="F424" s="816"/>
      <c r="G424" s="816"/>
      <c r="H424" s="816">
        <f t="shared" si="3"/>
        <v>0</v>
      </c>
      <c r="I424" s="905">
        <v>34840475</v>
      </c>
    </row>
    <row r="425" spans="1:9" ht="15.75" hidden="1">
      <c r="A425" s="628"/>
      <c r="B425" s="634"/>
      <c r="C425" s="695" t="s">
        <v>883</v>
      </c>
      <c r="D425" s="631"/>
      <c r="E425" s="815"/>
      <c r="F425" s="816"/>
      <c r="G425" s="816"/>
      <c r="H425" s="816">
        <f t="shared" si="3"/>
        <v>0</v>
      </c>
      <c r="I425" s="865">
        <f>I423-I424</f>
        <v>194984</v>
      </c>
    </row>
    <row r="426" spans="1:9" ht="15.75" hidden="1">
      <c r="A426" s="628"/>
      <c r="B426" s="612">
        <v>4</v>
      </c>
      <c r="C426" s="636" t="s">
        <v>870</v>
      </c>
      <c r="D426" s="631">
        <f>H426</f>
        <v>0</v>
      </c>
      <c r="E426" s="815"/>
      <c r="F426" s="816"/>
      <c r="G426" s="816"/>
      <c r="H426" s="816">
        <f t="shared" si="3"/>
        <v>0</v>
      </c>
      <c r="I426" s="172"/>
    </row>
    <row r="427" spans="1:9" ht="15.75" hidden="1">
      <c r="A427" s="650"/>
      <c r="B427" s="612">
        <v>6</v>
      </c>
      <c r="C427" s="636" t="s">
        <v>829</v>
      </c>
      <c r="D427" s="631">
        <f>H427</f>
        <v>23873</v>
      </c>
      <c r="E427" s="815"/>
      <c r="F427" s="816">
        <v>23873</v>
      </c>
      <c r="G427" s="816"/>
      <c r="H427" s="816">
        <f t="shared" si="3"/>
        <v>23873</v>
      </c>
      <c r="I427" s="172"/>
    </row>
    <row r="428" spans="1:9" ht="15.75" hidden="1">
      <c r="A428" s="650"/>
      <c r="B428" s="678">
        <v>15</v>
      </c>
      <c r="C428" s="817" t="s">
        <v>625</v>
      </c>
      <c r="D428" s="631"/>
      <c r="E428" s="815"/>
      <c r="F428" s="816"/>
      <c r="G428" s="816"/>
      <c r="H428" s="816">
        <f t="shared" si="3"/>
        <v>0</v>
      </c>
      <c r="I428" s="172"/>
    </row>
    <row r="429" spans="1:9" ht="15.75" hidden="1">
      <c r="A429" s="628"/>
      <c r="B429" s="634">
        <v>65</v>
      </c>
      <c r="C429" s="695" t="s">
        <v>892</v>
      </c>
      <c r="D429" s="631"/>
      <c r="E429" s="815"/>
      <c r="F429" s="816"/>
      <c r="G429" s="816"/>
      <c r="H429" s="816">
        <f t="shared" si="3"/>
        <v>0</v>
      </c>
      <c r="I429" s="172"/>
    </row>
    <row r="430" spans="1:9" ht="15.75" hidden="1">
      <c r="A430" s="628"/>
      <c r="B430" s="634">
        <v>15</v>
      </c>
      <c r="C430" s="589" t="s">
        <v>833</v>
      </c>
      <c r="D430" s="631">
        <f>H430</f>
        <v>3207678</v>
      </c>
      <c r="E430" s="815">
        <v>1717418</v>
      </c>
      <c r="F430" s="816">
        <v>240260</v>
      </c>
      <c r="G430" s="816">
        <v>1250000</v>
      </c>
      <c r="H430" s="816">
        <f t="shared" si="3"/>
        <v>3207678</v>
      </c>
      <c r="I430" s="172"/>
    </row>
    <row r="431" spans="1:9" ht="15.75" hidden="1">
      <c r="A431" s="650"/>
      <c r="B431" s="678"/>
      <c r="C431" s="589" t="s">
        <v>893</v>
      </c>
      <c r="D431" s="653"/>
      <c r="E431" s="815"/>
      <c r="F431" s="816"/>
      <c r="G431" s="816"/>
      <c r="H431" s="816"/>
      <c r="I431" s="172"/>
    </row>
    <row r="432" spans="1:9" ht="15.75" hidden="1">
      <c r="A432" s="635"/>
      <c r="B432" s="612" t="s">
        <v>760</v>
      </c>
      <c r="C432" s="636" t="s">
        <v>884</v>
      </c>
      <c r="D432" s="631">
        <f>H432</f>
        <v>70641</v>
      </c>
      <c r="E432" s="815"/>
      <c r="F432" s="816">
        <v>70641</v>
      </c>
      <c r="G432" s="816"/>
      <c r="H432" s="816">
        <f t="shared" si="3"/>
        <v>70641</v>
      </c>
      <c r="I432" s="172"/>
    </row>
    <row r="433" spans="1:9" ht="16.5" hidden="1" thickBot="1">
      <c r="A433" s="637"/>
      <c r="B433" s="638"/>
      <c r="C433" s="639" t="s">
        <v>830</v>
      </c>
      <c r="D433" s="640">
        <f>SUM(D420:D432)</f>
        <v>32994841</v>
      </c>
      <c r="E433" s="821">
        <f>SUM(E420:E430)</f>
        <v>10813633</v>
      </c>
      <c r="F433" s="822">
        <f>SUM(F420:F432)</f>
        <v>5309567</v>
      </c>
      <c r="G433" s="822">
        <f>SUM(G420:G430)</f>
        <v>16871641</v>
      </c>
      <c r="H433" s="816">
        <f t="shared" si="3"/>
        <v>32994841</v>
      </c>
      <c r="I433" s="172"/>
    </row>
    <row r="434" spans="1:8" ht="15.75" hidden="1">
      <c r="A434" s="641"/>
      <c r="B434" s="642"/>
      <c r="C434" s="643"/>
      <c r="D434" s="649"/>
      <c r="E434" s="815">
        <f>E433-E422</f>
        <v>10455185</v>
      </c>
      <c r="F434" s="815">
        <f>F433-F422</f>
        <v>5112629</v>
      </c>
      <c r="G434" s="815">
        <f>G433-G422</f>
        <v>16280827</v>
      </c>
      <c r="H434" s="816"/>
    </row>
    <row r="435" spans="1:8" ht="15.75" hidden="1">
      <c r="A435" s="628" t="s">
        <v>614</v>
      </c>
      <c r="B435" s="629"/>
      <c r="C435" s="811" t="s">
        <v>894</v>
      </c>
      <c r="D435" s="649"/>
      <c r="E435" s="591"/>
      <c r="F435" s="172"/>
      <c r="G435" s="172"/>
      <c r="H435" s="172"/>
    </row>
    <row r="436" spans="1:8" ht="15.75" hidden="1">
      <c r="A436" s="628"/>
      <c r="B436" s="629"/>
      <c r="C436" s="589"/>
      <c r="D436" s="649"/>
      <c r="E436" s="591"/>
      <c r="F436" s="591"/>
      <c r="G436" s="172"/>
      <c r="H436" s="172"/>
    </row>
    <row r="437" spans="1:8" ht="15.75" hidden="1">
      <c r="A437" s="628"/>
      <c r="B437" s="634">
        <v>50</v>
      </c>
      <c r="C437" s="589" t="s">
        <v>828</v>
      </c>
      <c r="D437" s="631">
        <v>1951815</v>
      </c>
      <c r="E437" s="591"/>
      <c r="F437" s="591"/>
      <c r="G437" s="172"/>
      <c r="H437" s="172"/>
    </row>
    <row r="438" spans="1:8" ht="15.75" hidden="1">
      <c r="A438" s="650"/>
      <c r="B438" s="678">
        <v>55</v>
      </c>
      <c r="C438" s="652" t="s">
        <v>551</v>
      </c>
      <c r="D438" s="653">
        <v>88803</v>
      </c>
      <c r="E438" s="591"/>
      <c r="F438" s="172"/>
      <c r="G438" s="172"/>
      <c r="H438" s="172"/>
    </row>
    <row r="439" spans="1:8" ht="16.5" hidden="1" thickBot="1">
      <c r="A439" s="665"/>
      <c r="B439" s="666"/>
      <c r="C439" s="772" t="s">
        <v>830</v>
      </c>
      <c r="D439" s="658">
        <f>SUM(D437:D438)</f>
        <v>2040618</v>
      </c>
      <c r="E439" s="823"/>
      <c r="F439" s="824"/>
      <c r="G439" s="824"/>
      <c r="H439" s="824"/>
    </row>
    <row r="440" spans="1:8" ht="15.75" hidden="1">
      <c r="A440" s="641"/>
      <c r="B440" s="642"/>
      <c r="C440" s="643"/>
      <c r="D440" s="812"/>
      <c r="E440" s="591"/>
      <c r="F440" s="172"/>
      <c r="G440" s="172"/>
      <c r="H440" s="172"/>
    </row>
    <row r="441" spans="1:8" ht="15.75" hidden="1">
      <c r="A441" s="628" t="s">
        <v>895</v>
      </c>
      <c r="B441" s="629" t="s">
        <v>896</v>
      </c>
      <c r="C441" s="811" t="s">
        <v>897</v>
      </c>
      <c r="D441" s="649"/>
      <c r="E441" s="591"/>
      <c r="F441" s="172"/>
      <c r="G441" s="172"/>
      <c r="H441" s="172"/>
    </row>
    <row r="442" spans="1:8" ht="15.75" hidden="1">
      <c r="A442" s="628"/>
      <c r="B442" s="629"/>
      <c r="C442" s="589"/>
      <c r="D442" s="649"/>
      <c r="E442" s="591"/>
      <c r="F442" s="172"/>
      <c r="G442" s="172"/>
      <c r="H442" s="172"/>
    </row>
    <row r="443" spans="1:8" ht="15.75" hidden="1">
      <c r="A443" s="628" t="s">
        <v>639</v>
      </c>
      <c r="B443" s="629"/>
      <c r="C443" s="811" t="s">
        <v>928</v>
      </c>
      <c r="D443" s="649"/>
      <c r="E443" s="591"/>
      <c r="F443" s="172"/>
      <c r="G443" s="172"/>
      <c r="H443" s="172"/>
    </row>
    <row r="444" spans="1:8" ht="15.75" hidden="1">
      <c r="A444" s="650"/>
      <c r="B444" s="678">
        <v>50</v>
      </c>
      <c r="C444" s="817" t="s">
        <v>828</v>
      </c>
      <c r="D444" s="631"/>
      <c r="E444" s="591"/>
      <c r="F444" s="172"/>
      <c r="G444" s="172"/>
      <c r="H444" s="172"/>
    </row>
    <row r="445" spans="1:8" ht="16.5" hidden="1" thickBot="1">
      <c r="A445" s="637"/>
      <c r="B445" s="638"/>
      <c r="C445" s="639" t="s">
        <v>830</v>
      </c>
      <c r="D445" s="640">
        <f>SUM(D444:D444)</f>
        <v>0</v>
      </c>
      <c r="E445" s="591"/>
      <c r="F445" s="172"/>
      <c r="G445" s="172"/>
      <c r="H445" s="172"/>
    </row>
    <row r="446" spans="1:8" ht="15.75" hidden="1">
      <c r="A446" s="641"/>
      <c r="B446" s="825"/>
      <c r="C446" s="826"/>
      <c r="D446" s="649"/>
      <c r="E446" s="591"/>
      <c r="F446" s="172"/>
      <c r="G446" s="172"/>
      <c r="H446" s="172"/>
    </row>
    <row r="447" spans="1:8" ht="15.75" hidden="1">
      <c r="A447" s="628" t="s">
        <v>641</v>
      </c>
      <c r="B447" s="629"/>
      <c r="C447" s="811" t="s">
        <v>899</v>
      </c>
      <c r="D447" s="649"/>
      <c r="E447" s="591"/>
      <c r="F447" s="172"/>
      <c r="G447" s="172"/>
      <c r="H447" s="172"/>
    </row>
    <row r="448" spans="1:8" ht="15.75" hidden="1">
      <c r="A448" s="628"/>
      <c r="B448" s="629"/>
      <c r="C448" s="811"/>
      <c r="D448" s="649"/>
      <c r="E448" s="591"/>
      <c r="F448" s="172"/>
      <c r="G448" s="172"/>
      <c r="H448" s="172"/>
    </row>
    <row r="449" spans="1:8" ht="15.75" hidden="1">
      <c r="A449" s="628"/>
      <c r="B449" s="634">
        <v>50</v>
      </c>
      <c r="C449" s="695" t="s">
        <v>828</v>
      </c>
      <c r="D449" s="631"/>
      <c r="E449" s="591"/>
      <c r="F449" s="172"/>
      <c r="G449" s="172"/>
      <c r="H449" s="172"/>
    </row>
    <row r="450" spans="1:7" ht="15.75" hidden="1">
      <c r="A450" s="650"/>
      <c r="B450" s="678">
        <v>55</v>
      </c>
      <c r="C450" s="817" t="s">
        <v>551</v>
      </c>
      <c r="D450" s="631"/>
      <c r="E450" s="591"/>
      <c r="F450" s="172"/>
      <c r="G450" s="172"/>
    </row>
    <row r="451" spans="1:7" ht="15.75" hidden="1">
      <c r="A451" s="635"/>
      <c r="B451" s="612">
        <v>6</v>
      </c>
      <c r="C451" s="636" t="s">
        <v>829</v>
      </c>
      <c r="D451" s="613"/>
      <c r="E451" s="591"/>
      <c r="F451" s="172"/>
      <c r="G451" s="172"/>
    </row>
    <row r="452" spans="1:7" ht="15.75" hidden="1">
      <c r="A452" s="635"/>
      <c r="B452" s="625">
        <v>15</v>
      </c>
      <c r="C452" s="589" t="s">
        <v>836</v>
      </c>
      <c r="D452" s="613"/>
      <c r="E452" s="591"/>
      <c r="F452" s="172"/>
      <c r="G452" s="172"/>
    </row>
    <row r="453" spans="1:7" ht="15.75" hidden="1">
      <c r="A453" s="635"/>
      <c r="B453" s="651"/>
      <c r="C453" s="652" t="s">
        <v>837</v>
      </c>
      <c r="D453" s="613"/>
      <c r="E453" s="591"/>
      <c r="F453" s="172"/>
      <c r="G453" s="172"/>
    </row>
    <row r="454" spans="1:7" ht="16.5" hidden="1" thickBot="1">
      <c r="A454" s="637"/>
      <c r="B454" s="638"/>
      <c r="C454" s="639" t="s">
        <v>830</v>
      </c>
      <c r="D454" s="640">
        <f>SUM(D449:D453)</f>
        <v>0</v>
      </c>
      <c r="E454" s="591"/>
      <c r="F454" s="172"/>
      <c r="G454" s="172"/>
    </row>
    <row r="455" spans="1:7" ht="15.75" hidden="1">
      <c r="A455" s="635"/>
      <c r="B455" s="655"/>
      <c r="C455" s="647"/>
      <c r="D455" s="648"/>
      <c r="E455" s="591"/>
      <c r="F455" s="172"/>
      <c r="G455" s="172"/>
    </row>
    <row r="456" spans="1:7" ht="16.5" hidden="1" thickBot="1">
      <c r="A456" s="637">
        <v>98003</v>
      </c>
      <c r="B456" s="638"/>
      <c r="C456" s="639" t="s">
        <v>900</v>
      </c>
      <c r="D456" s="640"/>
      <c r="E456" s="591"/>
      <c r="F456" s="172"/>
      <c r="G456" s="172"/>
    </row>
    <row r="457" spans="1:7" ht="15.75" hidden="1">
      <c r="A457" s="641"/>
      <c r="B457" s="642"/>
      <c r="C457" s="643"/>
      <c r="D457" s="812"/>
      <c r="E457" s="591"/>
      <c r="F457" s="172"/>
      <c r="G457" s="172"/>
    </row>
    <row r="458" spans="1:7" ht="15.75" hidden="1">
      <c r="A458" s="683">
        <v>10</v>
      </c>
      <c r="B458" s="684"/>
      <c r="C458" s="796" t="s">
        <v>645</v>
      </c>
      <c r="D458" s="686">
        <f>D463+D465+D467+D492+D477+D460</f>
        <v>2333325</v>
      </c>
      <c r="E458" s="623"/>
      <c r="F458" s="591"/>
      <c r="G458" s="591"/>
    </row>
    <row r="459" spans="1:7" ht="15.75" hidden="1">
      <c r="A459" s="827"/>
      <c r="B459" s="828"/>
      <c r="C459" s="707"/>
      <c r="D459" s="829"/>
      <c r="E459" s="591"/>
      <c r="F459" s="591"/>
      <c r="G459" s="591"/>
    </row>
    <row r="460" spans="1:7" ht="15.75" hidden="1">
      <c r="A460" s="906">
        <v>101</v>
      </c>
      <c r="B460" s="907"/>
      <c r="C460" s="908" t="s">
        <v>901</v>
      </c>
      <c r="D460" s="909"/>
      <c r="E460" s="591"/>
      <c r="F460" s="591"/>
      <c r="G460" s="591"/>
    </row>
    <row r="461" spans="1:7" ht="15.75" hidden="1">
      <c r="A461" s="906"/>
      <c r="B461" s="907"/>
      <c r="C461" s="910" t="s">
        <v>929</v>
      </c>
      <c r="D461" s="911"/>
      <c r="E461" s="591"/>
      <c r="F461" s="172"/>
      <c r="G461" s="172"/>
    </row>
    <row r="462" spans="1:7" ht="15.75" hidden="1">
      <c r="A462" s="635"/>
      <c r="B462" s="655"/>
      <c r="C462" s="775"/>
      <c r="D462" s="669"/>
      <c r="E462" s="591"/>
      <c r="F462" s="172"/>
      <c r="G462" s="172"/>
    </row>
    <row r="463" spans="1:7" ht="16.5" hidden="1" thickBot="1">
      <c r="A463" s="637">
        <v>102</v>
      </c>
      <c r="B463" s="645"/>
      <c r="C463" s="912" t="s">
        <v>902</v>
      </c>
      <c r="D463" s="913"/>
      <c r="E463" s="591"/>
      <c r="F463" s="172"/>
      <c r="G463" s="172"/>
    </row>
    <row r="464" spans="1:7" ht="15.75" hidden="1">
      <c r="A464" s="635"/>
      <c r="B464" s="646"/>
      <c r="C464" s="647"/>
      <c r="D464" s="669"/>
      <c r="E464" s="591"/>
      <c r="F464" s="172"/>
      <c r="G464" s="172"/>
    </row>
    <row r="465" spans="1:7" ht="16.5" hidden="1" thickBot="1">
      <c r="A465" s="637">
        <v>104</v>
      </c>
      <c r="B465" s="645"/>
      <c r="C465" s="912" t="s">
        <v>903</v>
      </c>
      <c r="D465" s="913"/>
      <c r="E465" s="591"/>
      <c r="F465" s="591"/>
      <c r="G465" s="172"/>
    </row>
    <row r="466" spans="1:5" ht="15.75" hidden="1">
      <c r="A466" s="650"/>
      <c r="B466" s="782"/>
      <c r="C466" s="875"/>
      <c r="D466" s="786"/>
      <c r="E466" s="591"/>
    </row>
    <row r="467" spans="1:5" ht="16.5" hidden="1" thickBot="1">
      <c r="A467" s="637">
        <v>107</v>
      </c>
      <c r="B467" s="617"/>
      <c r="C467" s="912" t="s">
        <v>904</v>
      </c>
      <c r="D467" s="913">
        <f>D479+D484+D481</f>
        <v>1418000</v>
      </c>
      <c r="E467" s="591"/>
    </row>
    <row r="468" spans="1:5" ht="15.75" hidden="1">
      <c r="A468" s="769"/>
      <c r="B468" s="612"/>
      <c r="C468" s="775"/>
      <c r="D468" s="698" t="s">
        <v>927</v>
      </c>
      <c r="E468" s="591"/>
    </row>
    <row r="469" spans="1:5" ht="16.5" hidden="1" thickBot="1">
      <c r="A469" s="637">
        <v>107001</v>
      </c>
      <c r="B469" s="629"/>
      <c r="C469" s="630" t="s">
        <v>905</v>
      </c>
      <c r="D469" s="649"/>
      <c r="E469" s="591"/>
    </row>
    <row r="470" spans="1:5" ht="15.75" hidden="1">
      <c r="A470" s="628"/>
      <c r="B470" s="629"/>
      <c r="C470" s="589"/>
      <c r="D470" s="649"/>
      <c r="E470" s="591"/>
    </row>
    <row r="471" spans="1:5" ht="15.75" hidden="1">
      <c r="A471" s="628"/>
      <c r="B471" s="634">
        <v>50</v>
      </c>
      <c r="C471" s="589" t="s">
        <v>828</v>
      </c>
      <c r="D471" s="631">
        <v>51863</v>
      </c>
      <c r="E471" s="591"/>
    </row>
    <row r="472" spans="1:5" ht="15.75" hidden="1">
      <c r="A472" s="628"/>
      <c r="B472" s="634">
        <v>55</v>
      </c>
      <c r="C472" s="589" t="s">
        <v>551</v>
      </c>
      <c r="D472" s="631">
        <v>200000</v>
      </c>
      <c r="E472" s="591"/>
    </row>
    <row r="473" spans="1:5" ht="15.75" hidden="1">
      <c r="A473" s="628"/>
      <c r="B473" s="646">
        <v>4</v>
      </c>
      <c r="C473" s="636" t="s">
        <v>870</v>
      </c>
      <c r="D473" s="631"/>
      <c r="E473" s="591"/>
    </row>
    <row r="474" spans="1:5" ht="15.75" hidden="1">
      <c r="A474" s="628"/>
      <c r="B474" s="612">
        <v>6</v>
      </c>
      <c r="C474" s="636" t="s">
        <v>829</v>
      </c>
      <c r="D474" s="631"/>
      <c r="E474" s="591"/>
    </row>
    <row r="475" spans="1:5" ht="15.75" hidden="1">
      <c r="A475" s="628"/>
      <c r="B475" s="634">
        <v>15</v>
      </c>
      <c r="C475" s="589" t="s">
        <v>833</v>
      </c>
      <c r="D475" s="631">
        <v>400000</v>
      </c>
      <c r="E475" s="591"/>
    </row>
    <row r="476" spans="1:5" ht="15.75" hidden="1">
      <c r="A476" s="628"/>
      <c r="B476" s="629"/>
      <c r="C476" s="589" t="s">
        <v>893</v>
      </c>
      <c r="D476" s="649"/>
      <c r="E476" s="591"/>
    </row>
    <row r="477" spans="1:5" ht="16.5" hidden="1" thickBot="1">
      <c r="A477" s="637"/>
      <c r="B477" s="638"/>
      <c r="C477" s="914" t="s">
        <v>830</v>
      </c>
      <c r="D477" s="915">
        <f>SUM(D471:D475)</f>
        <v>651863</v>
      </c>
      <c r="E477" s="591"/>
    </row>
    <row r="478" spans="1:5" ht="15.75" hidden="1">
      <c r="A478" s="769"/>
      <c r="B478" s="612"/>
      <c r="C478" s="775"/>
      <c r="D478" s="698"/>
      <c r="E478" s="591"/>
    </row>
    <row r="479" spans="1:5" ht="16.5" hidden="1" thickBot="1">
      <c r="A479" s="916">
        <v>10701</v>
      </c>
      <c r="B479" s="917">
        <v>41</v>
      </c>
      <c r="C479" s="912" t="s">
        <v>908</v>
      </c>
      <c r="D479" s="913">
        <v>783000</v>
      </c>
      <c r="E479" s="591"/>
    </row>
    <row r="480" spans="1:5" ht="15.75" hidden="1">
      <c r="A480" s="918"/>
      <c r="B480" s="919"/>
      <c r="C480" s="920"/>
      <c r="D480" s="921"/>
      <c r="E480" s="591"/>
    </row>
    <row r="481" spans="1:5" ht="15.75" hidden="1">
      <c r="A481" s="922">
        <v>10701</v>
      </c>
      <c r="B481" s="923">
        <v>41</v>
      </c>
      <c r="C481" s="924" t="s">
        <v>930</v>
      </c>
      <c r="D481" s="925">
        <v>285000</v>
      </c>
      <c r="E481" s="926"/>
    </row>
    <row r="482" spans="1:7" ht="16.5" hidden="1" thickBot="1">
      <c r="A482" s="927"/>
      <c r="B482" s="928"/>
      <c r="C482" s="929" t="s">
        <v>931</v>
      </c>
      <c r="D482" s="930"/>
      <c r="E482" s="563"/>
      <c r="F482" s="172"/>
      <c r="G482" s="172"/>
    </row>
    <row r="483" spans="1:7" ht="15.75" hidden="1">
      <c r="A483" s="635"/>
      <c r="B483" s="612"/>
      <c r="C483" s="775"/>
      <c r="D483" s="698"/>
      <c r="E483" s="591"/>
      <c r="F483" s="172"/>
      <c r="G483" s="172"/>
    </row>
    <row r="484" spans="1:7" ht="16.5" hidden="1" thickBot="1">
      <c r="A484" s="916">
        <v>10702</v>
      </c>
      <c r="B484" s="917">
        <v>41</v>
      </c>
      <c r="C484" s="912" t="s">
        <v>909</v>
      </c>
      <c r="D484" s="913">
        <v>350000</v>
      </c>
      <c r="E484" s="591"/>
      <c r="F484" s="172"/>
      <c r="G484" s="172"/>
    </row>
    <row r="485" spans="1:7" ht="15" customHeight="1" hidden="1">
      <c r="A485" s="635"/>
      <c r="B485" s="612"/>
      <c r="C485" s="775"/>
      <c r="D485" s="698"/>
      <c r="E485" s="591"/>
      <c r="F485" s="172"/>
      <c r="G485" s="172"/>
    </row>
    <row r="486" spans="1:7" ht="15.75" hidden="1">
      <c r="A486" s="628">
        <v>10900</v>
      </c>
      <c r="B486" s="629"/>
      <c r="C486" s="811" t="s">
        <v>910</v>
      </c>
      <c r="D486" s="649"/>
      <c r="E486" s="591"/>
      <c r="F486" s="172"/>
      <c r="G486" s="172"/>
    </row>
    <row r="487" spans="1:7" ht="15.75" hidden="1">
      <c r="A487" s="628"/>
      <c r="B487" s="629"/>
      <c r="C487" s="589"/>
      <c r="D487" s="649"/>
      <c r="E487" s="591"/>
      <c r="F487" s="172"/>
      <c r="G487" s="172"/>
    </row>
    <row r="488" spans="1:7" ht="15.75" hidden="1">
      <c r="A488" s="628"/>
      <c r="B488" s="634">
        <v>50</v>
      </c>
      <c r="C488" s="589" t="s">
        <v>828</v>
      </c>
      <c r="D488" s="631">
        <v>7062</v>
      </c>
      <c r="E488" s="591"/>
      <c r="F488" s="172"/>
      <c r="G488" s="172"/>
    </row>
    <row r="489" spans="1:7" ht="15.75" hidden="1">
      <c r="A489" s="650"/>
      <c r="B489" s="678">
        <v>55</v>
      </c>
      <c r="C489" s="652" t="s">
        <v>551</v>
      </c>
      <c r="D489" s="653">
        <v>256400</v>
      </c>
      <c r="E489" s="591"/>
      <c r="F489" s="172"/>
      <c r="G489" s="172"/>
    </row>
    <row r="490" spans="1:7" ht="15.75" hidden="1">
      <c r="A490" s="635"/>
      <c r="B490" s="634">
        <v>15</v>
      </c>
      <c r="C490" s="589" t="s">
        <v>833</v>
      </c>
      <c r="D490" s="613"/>
      <c r="E490" s="591"/>
      <c r="F490" s="172"/>
      <c r="G490" s="172"/>
    </row>
    <row r="491" spans="1:7" ht="15.75" hidden="1">
      <c r="A491" s="635"/>
      <c r="B491" s="678"/>
      <c r="C491" s="589" t="s">
        <v>893</v>
      </c>
      <c r="D491" s="613"/>
      <c r="E491" s="591"/>
      <c r="F491" s="172"/>
      <c r="G491" s="172"/>
    </row>
    <row r="492" spans="1:7" ht="16.5" hidden="1" thickBot="1">
      <c r="A492" s="637"/>
      <c r="B492" s="638"/>
      <c r="C492" s="914" t="s">
        <v>830</v>
      </c>
      <c r="D492" s="915">
        <f>SUM(D488:D490)</f>
        <v>263462</v>
      </c>
      <c r="E492" s="591"/>
      <c r="F492" s="172"/>
      <c r="G492" s="172"/>
    </row>
    <row r="493" spans="1:7" ht="15.75" hidden="1">
      <c r="A493" s="851"/>
      <c r="B493" s="852"/>
      <c r="C493" s="853"/>
      <c r="D493" s="669"/>
      <c r="E493" s="591"/>
      <c r="F493" s="172"/>
      <c r="G493" s="172"/>
    </row>
    <row r="494" spans="1:7" ht="16.5" hidden="1" thickBot="1">
      <c r="A494" s="854" t="s">
        <v>760</v>
      </c>
      <c r="B494" s="855"/>
      <c r="C494" s="855" t="s">
        <v>932</v>
      </c>
      <c r="D494" s="856">
        <f>SUM(D496)</f>
        <v>0</v>
      </c>
      <c r="E494" s="591"/>
      <c r="F494" s="172"/>
      <c r="G494" s="172"/>
    </row>
    <row r="495" spans="1:7" ht="15.75" hidden="1">
      <c r="A495" s="857"/>
      <c r="B495" s="858"/>
      <c r="C495" s="859"/>
      <c r="D495" s="812"/>
      <c r="E495" s="591"/>
      <c r="F495" s="172"/>
      <c r="G495" s="172"/>
    </row>
    <row r="496" spans="1:7" ht="15.75" hidden="1">
      <c r="A496" s="860"/>
      <c r="B496" s="861" t="s">
        <v>773</v>
      </c>
      <c r="C496" s="862" t="s">
        <v>884</v>
      </c>
      <c r="D496" s="653"/>
      <c r="E496" s="591"/>
      <c r="F496" s="172"/>
      <c r="G496" s="591"/>
    </row>
    <row r="497" spans="1:7" ht="16.5" hidden="1" thickBot="1">
      <c r="A497" s="854"/>
      <c r="B497" s="863"/>
      <c r="C497" s="863" t="s">
        <v>911</v>
      </c>
      <c r="D497" s="864">
        <f>D494+D458+D403+D361+D326+D311+D267+D350</f>
        <v>51856660</v>
      </c>
      <c r="E497" s="591"/>
      <c r="F497" s="865"/>
      <c r="G497" s="866"/>
    </row>
    <row r="498" spans="1:5" ht="15" hidden="1">
      <c r="A498" s="931"/>
      <c r="B498" s="931"/>
      <c r="C498" s="931"/>
      <c r="D498" s="931"/>
      <c r="E498" s="172"/>
    </row>
    <row r="499" spans="1:5" ht="15.75" hidden="1">
      <c r="A499" s="598" t="s">
        <v>820</v>
      </c>
      <c r="B499" s="599"/>
      <c r="C499" s="570"/>
      <c r="D499" s="565" t="s">
        <v>821</v>
      </c>
      <c r="E499" s="591"/>
    </row>
    <row r="500" spans="1:5" ht="15.75" hidden="1">
      <c r="A500" s="598"/>
      <c r="B500" s="599"/>
      <c r="C500" s="570"/>
      <c r="D500" s="567" t="s">
        <v>811</v>
      </c>
      <c r="E500" s="591"/>
    </row>
    <row r="501" spans="1:5" ht="15.75" hidden="1">
      <c r="A501" s="598"/>
      <c r="B501" s="599"/>
      <c r="C501" s="570"/>
      <c r="D501" s="567" t="s">
        <v>812</v>
      </c>
      <c r="E501" s="591"/>
    </row>
    <row r="502" spans="1:5" ht="15.75" hidden="1">
      <c r="A502" s="598"/>
      <c r="B502" s="599"/>
      <c r="C502" s="570"/>
      <c r="D502" s="568" t="s">
        <v>933</v>
      </c>
      <c r="E502" s="591"/>
    </row>
    <row r="503" spans="1:5" ht="15.75" hidden="1">
      <c r="A503" s="598"/>
      <c r="B503" s="599"/>
      <c r="C503" s="570"/>
      <c r="D503" s="567" t="s">
        <v>814</v>
      </c>
      <c r="E503" s="591"/>
    </row>
    <row r="504" spans="1:5" ht="15.75" hidden="1">
      <c r="A504" s="598"/>
      <c r="B504" s="599"/>
      <c r="C504" s="570"/>
      <c r="D504" s="569"/>
      <c r="E504" s="591"/>
    </row>
    <row r="505" spans="1:5" ht="15.75" hidden="1">
      <c r="A505" s="598"/>
      <c r="B505" s="600" t="s">
        <v>934</v>
      </c>
      <c r="C505" s="601"/>
      <c r="D505" s="172"/>
      <c r="E505" s="591"/>
    </row>
    <row r="506" spans="1:5" ht="15.75" hidden="1">
      <c r="A506" s="602" t="s">
        <v>4</v>
      </c>
      <c r="B506" s="603"/>
      <c r="C506" s="604"/>
      <c r="D506" s="605"/>
      <c r="E506" s="591"/>
    </row>
    <row r="507" spans="1:5" ht="16.5" hidden="1" thickBot="1">
      <c r="A507" s="606" t="s">
        <v>914</v>
      </c>
      <c r="B507" s="607"/>
      <c r="C507" s="580" t="s">
        <v>11</v>
      </c>
      <c r="D507" s="608" t="s">
        <v>818</v>
      </c>
      <c r="E507" s="591"/>
    </row>
    <row r="508" spans="1:5" ht="15.75" hidden="1">
      <c r="A508" s="602" t="s">
        <v>349</v>
      </c>
      <c r="B508" s="609" t="s">
        <v>26</v>
      </c>
      <c r="C508" s="580"/>
      <c r="D508" s="610"/>
      <c r="E508" s="591"/>
    </row>
    <row r="509" spans="1:5" ht="15.75" hidden="1">
      <c r="A509" s="611" t="s">
        <v>355</v>
      </c>
      <c r="B509" s="612" t="s">
        <v>356</v>
      </c>
      <c r="C509" s="580"/>
      <c r="D509" s="610"/>
      <c r="E509" s="591"/>
    </row>
    <row r="510" spans="1:5" ht="15.75" hidden="1">
      <c r="A510" s="611" t="s">
        <v>357</v>
      </c>
      <c r="B510" s="612" t="s">
        <v>363</v>
      </c>
      <c r="C510" s="580"/>
      <c r="D510" s="613"/>
      <c r="E510" s="591"/>
    </row>
    <row r="511" spans="1:5" ht="16.5" hidden="1" thickBot="1">
      <c r="A511" s="606"/>
      <c r="B511" s="614" t="s">
        <v>825</v>
      </c>
      <c r="C511" s="583"/>
      <c r="D511" s="615"/>
      <c r="E511" s="591"/>
    </row>
    <row r="512" spans="1:5" ht="16.5" hidden="1" thickBot="1">
      <c r="A512" s="616">
        <v>1</v>
      </c>
      <c r="B512" s="617">
        <v>2</v>
      </c>
      <c r="C512" s="618">
        <v>3</v>
      </c>
      <c r="D512" s="868">
        <v>4</v>
      </c>
      <c r="E512" s="591"/>
    </row>
    <row r="513" spans="1:5" ht="15.75" hidden="1">
      <c r="A513" s="620" t="s">
        <v>368</v>
      </c>
      <c r="B513" s="621"/>
      <c r="C513" s="621" t="s">
        <v>369</v>
      </c>
      <c r="D513" s="622">
        <f>D520+D530+D553+D555+D565+D562+D567+D545+D535</f>
        <v>291037</v>
      </c>
      <c r="E513" s="932"/>
    </row>
    <row r="514" spans="1:6" ht="15.75" hidden="1">
      <c r="A514" s="624"/>
      <c r="B514" s="625"/>
      <c r="C514" s="626"/>
      <c r="D514" s="627"/>
      <c r="E514" s="591"/>
      <c r="F514" s="172"/>
    </row>
    <row r="515" spans="1:6" ht="15.75" hidden="1">
      <c r="A515" s="628" t="s">
        <v>371</v>
      </c>
      <c r="B515" s="629"/>
      <c r="C515" s="630" t="s">
        <v>826</v>
      </c>
      <c r="D515" s="631"/>
      <c r="E515" s="591"/>
      <c r="F515" s="172"/>
    </row>
    <row r="516" spans="1:6" ht="15.75" hidden="1">
      <c r="A516" s="628"/>
      <c r="B516" s="625">
        <v>4</v>
      </c>
      <c r="C516" s="632" t="s">
        <v>915</v>
      </c>
      <c r="D516" s="627">
        <v>-13300</v>
      </c>
      <c r="E516" s="591"/>
      <c r="F516" s="172"/>
    </row>
    <row r="517" spans="1:6" ht="15.75" hidden="1">
      <c r="A517" s="633"/>
      <c r="B517" s="634">
        <v>50</v>
      </c>
      <c r="C517" s="589" t="s">
        <v>828</v>
      </c>
      <c r="D517" s="631">
        <v>51880</v>
      </c>
      <c r="E517" s="591"/>
      <c r="F517" s="172"/>
    </row>
    <row r="518" spans="1:6" ht="15.75" hidden="1">
      <c r="A518" s="628"/>
      <c r="B518" s="634">
        <v>55</v>
      </c>
      <c r="C518" s="589" t="s">
        <v>551</v>
      </c>
      <c r="D518" s="631">
        <v>-17070</v>
      </c>
      <c r="E518" s="591"/>
      <c r="F518" s="172"/>
    </row>
    <row r="519" spans="1:6" ht="15.75" hidden="1">
      <c r="A519" s="635"/>
      <c r="B519" s="612">
        <v>6</v>
      </c>
      <c r="C519" s="636" t="s">
        <v>829</v>
      </c>
      <c r="D519" s="613">
        <v>10000</v>
      </c>
      <c r="E519" s="591"/>
      <c r="F519" s="172"/>
    </row>
    <row r="520" spans="1:6" ht="16.5" hidden="1" thickBot="1">
      <c r="A520" s="637"/>
      <c r="B520" s="638"/>
      <c r="C520" s="639" t="s">
        <v>830</v>
      </c>
      <c r="D520" s="640">
        <f>SUM(D516:D519)</f>
        <v>31510</v>
      </c>
      <c r="E520" s="591"/>
      <c r="F520" s="591"/>
    </row>
    <row r="521" spans="1:6" ht="15.75" hidden="1">
      <c r="A521" s="641"/>
      <c r="B521" s="642"/>
      <c r="C521" s="643"/>
      <c r="D521" s="644"/>
      <c r="E521" s="591"/>
      <c r="F521" s="172"/>
    </row>
    <row r="522" spans="1:6" ht="15.75" hidden="1">
      <c r="A522" s="628" t="s">
        <v>375</v>
      </c>
      <c r="B522" s="634"/>
      <c r="C522" s="630" t="s">
        <v>831</v>
      </c>
      <c r="D522" s="631"/>
      <c r="E522" s="591"/>
      <c r="F522" s="172"/>
    </row>
    <row r="523" spans="1:6" ht="15.75" hidden="1">
      <c r="A523" s="628"/>
      <c r="B523" s="634"/>
      <c r="C523" s="630"/>
      <c r="D523" s="627"/>
      <c r="E523" s="591"/>
      <c r="F523" s="172"/>
    </row>
    <row r="524" spans="1:6" ht="15.75" hidden="1">
      <c r="A524" s="628"/>
      <c r="B524" s="625">
        <v>4</v>
      </c>
      <c r="C524" s="632" t="s">
        <v>935</v>
      </c>
      <c r="D524" s="632">
        <v>159600</v>
      </c>
      <c r="E524" s="591"/>
      <c r="F524" s="172"/>
    </row>
    <row r="525" spans="1:6" ht="15.75" hidden="1">
      <c r="A525" s="628"/>
      <c r="B525" s="634">
        <v>50</v>
      </c>
      <c r="C525" s="589" t="s">
        <v>828</v>
      </c>
      <c r="D525" s="631">
        <v>454753</v>
      </c>
      <c r="E525" s="869"/>
      <c r="F525" s="172"/>
    </row>
    <row r="526" spans="1:6" ht="15.75" hidden="1">
      <c r="A526" s="628"/>
      <c r="B526" s="634">
        <v>55</v>
      </c>
      <c r="C526" s="589" t="s">
        <v>551</v>
      </c>
      <c r="D526" s="631">
        <v>417000</v>
      </c>
      <c r="E526" s="591"/>
      <c r="F526" s="172"/>
    </row>
    <row r="527" spans="1:6" ht="15.75" hidden="1">
      <c r="A527" s="628"/>
      <c r="B527" s="634">
        <v>15</v>
      </c>
      <c r="C527" s="589" t="s">
        <v>833</v>
      </c>
      <c r="D527" s="631"/>
      <c r="E527" s="591"/>
      <c r="F527" s="172"/>
    </row>
    <row r="528" spans="1:6" ht="15.75" hidden="1">
      <c r="A528" s="650"/>
      <c r="B528" s="678"/>
      <c r="C528" s="652" t="s">
        <v>834</v>
      </c>
      <c r="D528" s="627"/>
      <c r="E528" s="591"/>
      <c r="F528" s="172"/>
    </row>
    <row r="529" spans="1:6" ht="15.75" hidden="1">
      <c r="A529" s="635"/>
      <c r="B529" s="612">
        <v>6</v>
      </c>
      <c r="C529" s="636" t="s">
        <v>829</v>
      </c>
      <c r="D529" s="613">
        <v>150000</v>
      </c>
      <c r="E529" s="591"/>
      <c r="F529" s="172"/>
    </row>
    <row r="530" spans="1:6" ht="16.5" hidden="1" thickBot="1">
      <c r="A530" s="637"/>
      <c r="B530" s="645"/>
      <c r="C530" s="639" t="s">
        <v>830</v>
      </c>
      <c r="D530" s="640">
        <f>SUM(D524:D529)</f>
        <v>1181353</v>
      </c>
      <c r="E530" s="591"/>
      <c r="F530" s="591"/>
    </row>
    <row r="531" spans="1:6" ht="15.75" hidden="1">
      <c r="A531" s="635"/>
      <c r="B531" s="646"/>
      <c r="C531" s="647"/>
      <c r="D531" s="648"/>
      <c r="E531" s="591"/>
      <c r="F531" s="591"/>
    </row>
    <row r="532" spans="1:6" ht="15.75" hidden="1">
      <c r="A532" s="628" t="s">
        <v>380</v>
      </c>
      <c r="B532" s="629"/>
      <c r="C532" s="630" t="s">
        <v>936</v>
      </c>
      <c r="D532" s="649"/>
      <c r="E532" s="591"/>
      <c r="F532" s="591"/>
    </row>
    <row r="533" spans="1:6" ht="15.75" hidden="1">
      <c r="A533" s="650"/>
      <c r="B533" s="629"/>
      <c r="C533" s="870"/>
      <c r="D533" s="649"/>
      <c r="E533" s="591"/>
      <c r="F533" s="591"/>
    </row>
    <row r="534" spans="1:6" ht="15.75" hidden="1">
      <c r="A534" s="650"/>
      <c r="B534" s="634">
        <v>50</v>
      </c>
      <c r="C534" s="652" t="s">
        <v>828</v>
      </c>
      <c r="D534" s="631">
        <v>152879</v>
      </c>
      <c r="E534" s="591"/>
      <c r="F534" s="591"/>
    </row>
    <row r="535" spans="1:6" ht="16.5" hidden="1" thickBot="1">
      <c r="A535" s="637"/>
      <c r="B535" s="645"/>
      <c r="C535" s="639" t="s">
        <v>830</v>
      </c>
      <c r="D535" s="640">
        <f>SUM(D534)</f>
        <v>152879</v>
      </c>
      <c r="E535" s="591"/>
      <c r="F535" s="591"/>
    </row>
    <row r="536" spans="1:6" ht="15.75" hidden="1">
      <c r="A536" s="635"/>
      <c r="B536" s="646"/>
      <c r="C536" s="647"/>
      <c r="D536" s="648"/>
      <c r="E536" s="591"/>
      <c r="F536" s="591"/>
    </row>
    <row r="537" spans="1:6" ht="15.75" hidden="1">
      <c r="A537" s="628" t="s">
        <v>377</v>
      </c>
      <c r="B537" s="629"/>
      <c r="C537" s="630" t="s">
        <v>916</v>
      </c>
      <c r="D537" s="649"/>
      <c r="E537" s="591"/>
      <c r="F537" s="591"/>
    </row>
    <row r="538" spans="1:6" ht="15.75" hidden="1">
      <c r="A538" s="650"/>
      <c r="B538" s="629"/>
      <c r="C538" s="870"/>
      <c r="D538" s="649"/>
      <c r="E538" s="591"/>
      <c r="F538" s="591"/>
    </row>
    <row r="539" spans="1:6" ht="15.75" hidden="1">
      <c r="A539" s="650"/>
      <c r="B539" s="634">
        <v>50</v>
      </c>
      <c r="C539" s="652" t="s">
        <v>828</v>
      </c>
      <c r="D539" s="631"/>
      <c r="E539" s="591"/>
      <c r="F539" s="591"/>
    </row>
    <row r="540" spans="1:6" ht="16.5" hidden="1" thickBot="1">
      <c r="A540" s="637"/>
      <c r="B540" s="645"/>
      <c r="C540" s="639" t="s">
        <v>830</v>
      </c>
      <c r="D540" s="640">
        <f>SUM(D539)</f>
        <v>0</v>
      </c>
      <c r="E540" s="591"/>
      <c r="F540" s="591"/>
    </row>
    <row r="541" spans="1:6" ht="15.75" hidden="1">
      <c r="A541" s="635"/>
      <c r="B541" s="646"/>
      <c r="C541" s="647"/>
      <c r="D541" s="648"/>
      <c r="E541" s="591"/>
      <c r="F541" s="172"/>
    </row>
    <row r="542" spans="1:6" ht="15.75" hidden="1">
      <c r="A542" s="628" t="s">
        <v>377</v>
      </c>
      <c r="B542" s="629"/>
      <c r="C542" s="630" t="s">
        <v>916</v>
      </c>
      <c r="D542" s="649"/>
      <c r="E542" s="591"/>
      <c r="F542" s="172"/>
    </row>
    <row r="543" spans="1:6" ht="15.75" hidden="1">
      <c r="A543" s="650"/>
      <c r="B543" s="629"/>
      <c r="C543" s="870"/>
      <c r="D543" s="649"/>
      <c r="E543" s="591"/>
      <c r="F543" s="172"/>
    </row>
    <row r="544" spans="1:6" ht="15.75" hidden="1">
      <c r="A544" s="650"/>
      <c r="B544" s="634">
        <v>50</v>
      </c>
      <c r="C544" s="652" t="s">
        <v>828</v>
      </c>
      <c r="D544" s="631"/>
      <c r="E544" s="591"/>
      <c r="F544" s="172"/>
    </row>
    <row r="545" spans="1:6" ht="16.5" hidden="1" thickBot="1">
      <c r="A545" s="637"/>
      <c r="B545" s="645"/>
      <c r="C545" s="639" t="s">
        <v>830</v>
      </c>
      <c r="D545" s="640">
        <f>SUM(D544)</f>
        <v>0</v>
      </c>
      <c r="E545" s="591"/>
      <c r="F545" s="172"/>
    </row>
    <row r="546" spans="1:8" ht="15.75" hidden="1">
      <c r="A546" s="635"/>
      <c r="B546" s="646"/>
      <c r="C546" s="647"/>
      <c r="D546" s="648"/>
      <c r="E546" s="591"/>
      <c r="F546" s="172"/>
      <c r="G546" s="172"/>
      <c r="H546" s="172"/>
    </row>
    <row r="547" spans="1:8" ht="15.75" hidden="1">
      <c r="A547" s="628" t="s">
        <v>380</v>
      </c>
      <c r="B547" s="629"/>
      <c r="C547" s="630" t="s">
        <v>835</v>
      </c>
      <c r="D547" s="649"/>
      <c r="E547" s="591"/>
      <c r="F547" s="172"/>
      <c r="G547" s="172"/>
      <c r="H547" s="172"/>
    </row>
    <row r="548" spans="1:8" ht="15.75" hidden="1">
      <c r="A548" s="628"/>
      <c r="B548" s="629"/>
      <c r="C548" s="632"/>
      <c r="D548" s="649"/>
      <c r="E548" s="591"/>
      <c r="F548" s="172"/>
      <c r="G548" s="172"/>
      <c r="H548" s="172"/>
    </row>
    <row r="549" spans="1:8" ht="15.75" hidden="1">
      <c r="A549" s="628"/>
      <c r="B549" s="634">
        <v>50</v>
      </c>
      <c r="C549" s="589" t="s">
        <v>828</v>
      </c>
      <c r="D549" s="631"/>
      <c r="E549" s="591"/>
      <c r="F549" s="172"/>
      <c r="G549" s="172"/>
      <c r="H549" s="172"/>
    </row>
    <row r="550" spans="1:8" ht="15.75" hidden="1">
      <c r="A550" s="628"/>
      <c r="B550" s="634">
        <v>55</v>
      </c>
      <c r="C550" s="589" t="s">
        <v>551</v>
      </c>
      <c r="D550" s="631">
        <v>5000</v>
      </c>
      <c r="E550" s="591"/>
      <c r="F550" s="172"/>
      <c r="G550" s="172"/>
      <c r="H550" s="172"/>
    </row>
    <row r="551" spans="1:8" ht="15.75" hidden="1">
      <c r="A551" s="628"/>
      <c r="B551" s="625">
        <v>15</v>
      </c>
      <c r="C551" s="589" t="s">
        <v>836</v>
      </c>
      <c r="D551" s="631"/>
      <c r="E551" s="591"/>
      <c r="F551" s="172"/>
      <c r="G551" s="172"/>
      <c r="H551" s="172"/>
    </row>
    <row r="552" spans="1:8" ht="15.75" hidden="1">
      <c r="A552" s="650"/>
      <c r="B552" s="651"/>
      <c r="C552" s="652" t="s">
        <v>837</v>
      </c>
      <c r="D552" s="653"/>
      <c r="E552" s="591"/>
      <c r="F552" s="172"/>
      <c r="G552" s="172"/>
      <c r="H552" s="172"/>
    </row>
    <row r="553" spans="1:8" ht="16.5" hidden="1" thickBot="1">
      <c r="A553" s="637"/>
      <c r="B553" s="638"/>
      <c r="C553" s="639" t="s">
        <v>830</v>
      </c>
      <c r="D553" s="654">
        <f>SUM(D549:D552)</f>
        <v>5000</v>
      </c>
      <c r="E553" s="591"/>
      <c r="F553" s="172"/>
      <c r="G553" s="172"/>
      <c r="H553" s="172"/>
    </row>
    <row r="554" spans="1:8" ht="15.75" hidden="1">
      <c r="A554" s="635"/>
      <c r="B554" s="655"/>
      <c r="C554" s="647"/>
      <c r="D554" s="656"/>
      <c r="E554" s="591"/>
      <c r="F554" s="172"/>
      <c r="G554" s="172"/>
      <c r="H554" s="172"/>
    </row>
    <row r="555" spans="1:8" ht="16.5" hidden="1" thickBot="1">
      <c r="A555" s="637" t="s">
        <v>382</v>
      </c>
      <c r="B555" s="638"/>
      <c r="C555" s="657" t="s">
        <v>838</v>
      </c>
      <c r="D555" s="658">
        <f>SUM(D556:D560)</f>
        <v>-1790805</v>
      </c>
      <c r="E555" s="591"/>
      <c r="F555" s="172"/>
      <c r="G555" s="172"/>
      <c r="H555" s="172"/>
    </row>
    <row r="556" spans="1:8" ht="15.75" hidden="1">
      <c r="A556" s="624"/>
      <c r="B556" s="625"/>
      <c r="C556" s="589" t="s">
        <v>839</v>
      </c>
      <c r="D556" s="660">
        <v>-1797605</v>
      </c>
      <c r="E556" s="661"/>
      <c r="F556" s="573"/>
      <c r="G556" s="573"/>
      <c r="H556" s="573"/>
    </row>
    <row r="557" spans="1:8" ht="15.75" hidden="1">
      <c r="A557" s="624"/>
      <c r="B557" s="625"/>
      <c r="C557" s="589" t="s">
        <v>917</v>
      </c>
      <c r="D557" s="660"/>
      <c r="E557" s="661"/>
      <c r="F557" s="573"/>
      <c r="G557" s="573"/>
      <c r="H557" s="573"/>
    </row>
    <row r="558" spans="1:8" ht="15.75" hidden="1">
      <c r="A558" s="624"/>
      <c r="B558" s="625"/>
      <c r="C558" s="589" t="s">
        <v>918</v>
      </c>
      <c r="D558" s="660"/>
      <c r="E558" s="661"/>
      <c r="F558" s="573"/>
      <c r="G558" s="573"/>
      <c r="H558" s="573"/>
    </row>
    <row r="559" spans="1:8" ht="15.75" hidden="1">
      <c r="A559" s="624"/>
      <c r="B559" s="625"/>
      <c r="C559" s="632" t="s">
        <v>919</v>
      </c>
      <c r="D559" s="660">
        <v>-993200</v>
      </c>
      <c r="E559" s="661"/>
      <c r="F559" s="573"/>
      <c r="G559" s="573"/>
      <c r="H559" s="573"/>
    </row>
    <row r="560" spans="1:8" ht="15.75" hidden="1">
      <c r="A560" s="611"/>
      <c r="B560" s="612"/>
      <c r="C560" s="632" t="s">
        <v>937</v>
      </c>
      <c r="D560" s="696">
        <v>1000000</v>
      </c>
      <c r="E560" s="661"/>
      <c r="F560" s="573"/>
      <c r="G560" s="573"/>
      <c r="H560" s="573"/>
    </row>
    <row r="561" spans="1:8" ht="15.75" hidden="1">
      <c r="A561" s="635"/>
      <c r="B561" s="655"/>
      <c r="C561" s="871"/>
      <c r="D561" s="669"/>
      <c r="E561" s="591"/>
      <c r="F561" s="172"/>
      <c r="G561" s="172"/>
      <c r="H561" s="172"/>
    </row>
    <row r="562" spans="1:5" ht="16.5" hidden="1" thickBot="1">
      <c r="A562" s="662" t="s">
        <v>396</v>
      </c>
      <c r="B562" s="663"/>
      <c r="C562" s="664" t="s">
        <v>842</v>
      </c>
      <c r="D562" s="658"/>
      <c r="E562" s="591"/>
    </row>
    <row r="563" spans="1:5" ht="16.5" hidden="1" thickBot="1">
      <c r="A563" s="637"/>
      <c r="B563" s="638"/>
      <c r="C563" s="657" t="s">
        <v>843</v>
      </c>
      <c r="D563" s="658"/>
      <c r="E563" s="591"/>
    </row>
    <row r="564" spans="1:5" ht="16.5" hidden="1" thickBot="1">
      <c r="A564" s="637"/>
      <c r="B564" s="638"/>
      <c r="C564" s="657"/>
      <c r="D564" s="658"/>
      <c r="E564" s="591"/>
    </row>
    <row r="565" spans="1:5" ht="16.5" hidden="1" thickBot="1">
      <c r="A565" s="665" t="s">
        <v>402</v>
      </c>
      <c r="B565" s="666"/>
      <c r="C565" s="667" t="s">
        <v>844</v>
      </c>
      <c r="D565" s="658"/>
      <c r="E565" s="591"/>
    </row>
    <row r="566" spans="1:5" ht="16.5" hidden="1" thickBot="1">
      <c r="A566" s="637"/>
      <c r="B566" s="638"/>
      <c r="C566" s="657"/>
      <c r="D566" s="658"/>
      <c r="E566" s="591"/>
    </row>
    <row r="567" spans="1:5" ht="16.5" hidden="1" thickBot="1">
      <c r="A567" s="637" t="s">
        <v>404</v>
      </c>
      <c r="B567" s="617"/>
      <c r="C567" s="657" t="s">
        <v>845</v>
      </c>
      <c r="D567" s="658">
        <v>711100</v>
      </c>
      <c r="E567" s="591"/>
    </row>
    <row r="568" spans="1:5" ht="15.75" hidden="1">
      <c r="A568" s="635"/>
      <c r="B568" s="655"/>
      <c r="C568" s="668"/>
      <c r="D568" s="669"/>
      <c r="E568" s="591"/>
    </row>
    <row r="569" spans="1:5" ht="16.5" hidden="1" thickBot="1">
      <c r="A569" s="670" t="s">
        <v>422</v>
      </c>
      <c r="B569" s="671"/>
      <c r="C569" s="672" t="s">
        <v>423</v>
      </c>
      <c r="D569" s="673">
        <f>D577+D583</f>
        <v>819890</v>
      </c>
      <c r="E569" s="932"/>
    </row>
    <row r="570" spans="1:5" ht="15.75" hidden="1">
      <c r="A570" s="641"/>
      <c r="B570" s="642"/>
      <c r="C570" s="872"/>
      <c r="D570" s="812"/>
      <c r="E570" s="591"/>
    </row>
    <row r="571" spans="1:5" ht="15.75" hidden="1">
      <c r="A571" s="628" t="s">
        <v>424</v>
      </c>
      <c r="B571" s="629"/>
      <c r="C571" s="630" t="s">
        <v>847</v>
      </c>
      <c r="D571" s="649"/>
      <c r="E571" s="591"/>
    </row>
    <row r="572" spans="1:5" ht="15.75" hidden="1">
      <c r="A572" s="628"/>
      <c r="B572" s="629"/>
      <c r="C572" s="630"/>
      <c r="D572" s="649"/>
      <c r="E572" s="591"/>
    </row>
    <row r="573" spans="1:5" ht="15.75" hidden="1">
      <c r="A573" s="628"/>
      <c r="B573" s="634">
        <v>50</v>
      </c>
      <c r="C573" s="589" t="s">
        <v>828</v>
      </c>
      <c r="D573" s="631"/>
      <c r="E573" s="591"/>
    </row>
    <row r="574" spans="1:5" ht="15.75" hidden="1">
      <c r="A574" s="628"/>
      <c r="B574" s="634">
        <v>55</v>
      </c>
      <c r="C574" s="589" t="s">
        <v>551</v>
      </c>
      <c r="D574" s="631">
        <v>-15000</v>
      </c>
      <c r="E574" s="591"/>
    </row>
    <row r="575" spans="1:5" ht="15.75" hidden="1">
      <c r="A575" s="628"/>
      <c r="B575" s="634"/>
      <c r="C575" s="589" t="s">
        <v>848</v>
      </c>
      <c r="D575" s="631"/>
      <c r="E575" s="591"/>
    </row>
    <row r="576" spans="1:5" ht="15.75" hidden="1">
      <c r="A576" s="650"/>
      <c r="B576" s="678"/>
      <c r="C576" s="652" t="s">
        <v>849</v>
      </c>
      <c r="D576" s="653"/>
      <c r="E576" s="591"/>
    </row>
    <row r="577" spans="1:5" ht="16.5" hidden="1" thickBot="1">
      <c r="A577" s="637"/>
      <c r="B577" s="638"/>
      <c r="C577" s="639" t="s">
        <v>830</v>
      </c>
      <c r="D577" s="640">
        <f>SUM(D573:D576)</f>
        <v>-15000</v>
      </c>
      <c r="E577" s="591"/>
    </row>
    <row r="578" spans="1:7" ht="15.75" hidden="1">
      <c r="A578" s="628"/>
      <c r="B578" s="629"/>
      <c r="C578" s="679"/>
      <c r="D578" s="649"/>
      <c r="E578" s="591"/>
      <c r="F578" s="172"/>
      <c r="G578" s="172"/>
    </row>
    <row r="579" spans="1:7" ht="15.75" hidden="1">
      <c r="A579" s="680" t="s">
        <v>433</v>
      </c>
      <c r="B579" s="629"/>
      <c r="C579" s="630" t="s">
        <v>920</v>
      </c>
      <c r="D579" s="649"/>
      <c r="E579" s="591"/>
      <c r="F579" s="172"/>
      <c r="G579" s="172"/>
    </row>
    <row r="580" spans="1:7" ht="15.75" hidden="1">
      <c r="A580" s="628"/>
      <c r="B580" s="629"/>
      <c r="C580" s="630"/>
      <c r="D580" s="649"/>
      <c r="E580" s="591"/>
      <c r="F580" s="172"/>
      <c r="G580" s="172"/>
    </row>
    <row r="581" spans="1:7" ht="15.75" hidden="1">
      <c r="A581" s="650"/>
      <c r="B581" s="634">
        <v>55</v>
      </c>
      <c r="C581" s="589" t="s">
        <v>551</v>
      </c>
      <c r="D581" s="649">
        <v>834890</v>
      </c>
      <c r="E581" s="591"/>
      <c r="F581" s="172"/>
      <c r="G581" s="172"/>
    </row>
    <row r="582" spans="1:7" ht="15.75" hidden="1">
      <c r="A582" s="650"/>
      <c r="B582" s="678">
        <v>4</v>
      </c>
      <c r="C582" s="652" t="s">
        <v>870</v>
      </c>
      <c r="D582" s="631"/>
      <c r="E582" s="591"/>
      <c r="F582" s="172"/>
      <c r="G582" s="172"/>
    </row>
    <row r="583" spans="1:7" ht="16.5" hidden="1" thickBot="1">
      <c r="A583" s="637"/>
      <c r="B583" s="638"/>
      <c r="C583" s="639" t="s">
        <v>830</v>
      </c>
      <c r="D583" s="640">
        <f>SUM(D581:D582)</f>
        <v>834890</v>
      </c>
      <c r="E583" s="591"/>
      <c r="F583" s="172"/>
      <c r="G583" s="172"/>
    </row>
    <row r="584" spans="1:7" ht="15.75" hidden="1">
      <c r="A584" s="641"/>
      <c r="B584" s="642"/>
      <c r="C584" s="682"/>
      <c r="D584" s="649"/>
      <c r="E584" s="591"/>
      <c r="F584" s="172"/>
      <c r="G584" s="172"/>
    </row>
    <row r="585" spans="1:7" ht="15.75" hidden="1">
      <c r="A585" s="683"/>
      <c r="B585" s="684"/>
      <c r="C585" s="685" t="s">
        <v>921</v>
      </c>
      <c r="D585" s="686">
        <f>D587+D592+D602+D604+D613+D598+D600</f>
        <v>-1241886</v>
      </c>
      <c r="E585" s="932"/>
      <c r="F585" s="591"/>
      <c r="G585" s="591"/>
    </row>
    <row r="586" spans="1:7" ht="15.75" hidden="1">
      <c r="A586" s="650"/>
      <c r="B586" s="651"/>
      <c r="C586" s="687"/>
      <c r="D586" s="786"/>
      <c r="E586" s="591"/>
      <c r="F586" s="591"/>
      <c r="G586" s="172"/>
    </row>
    <row r="587" spans="1:7" ht="16.5" hidden="1" thickBot="1">
      <c r="A587" s="637" t="s">
        <v>437</v>
      </c>
      <c r="B587" s="617">
        <v>55</v>
      </c>
      <c r="C587" s="873" t="s">
        <v>853</v>
      </c>
      <c r="D587" s="658">
        <f>-256655-D592-D598</f>
        <v>-435666</v>
      </c>
      <c r="E587" s="591"/>
      <c r="F587" s="591"/>
      <c r="G587" s="591"/>
    </row>
    <row r="588" spans="1:7" ht="15.75" hidden="1">
      <c r="A588" s="641"/>
      <c r="B588" s="691"/>
      <c r="C588" s="692"/>
      <c r="D588" s="693"/>
      <c r="E588" s="591"/>
      <c r="F588" s="172"/>
      <c r="G588" s="172"/>
    </row>
    <row r="589" spans="1:7" ht="15.75" hidden="1">
      <c r="A589" s="628" t="s">
        <v>479</v>
      </c>
      <c r="B589" s="625"/>
      <c r="C589" s="694" t="s">
        <v>922</v>
      </c>
      <c r="D589" s="693"/>
      <c r="E589" s="591"/>
      <c r="F589" s="172"/>
      <c r="G589" s="172"/>
    </row>
    <row r="590" spans="1:7" ht="15.75" hidden="1">
      <c r="A590" s="628"/>
      <c r="B590" s="625">
        <v>50</v>
      </c>
      <c r="C590" s="695" t="s">
        <v>828</v>
      </c>
      <c r="D590" s="660">
        <v>78732</v>
      </c>
      <c r="E590" s="591"/>
      <c r="F590" s="172"/>
      <c r="G590" s="172"/>
    </row>
    <row r="591" spans="1:7" ht="15.75" hidden="1">
      <c r="A591" s="635"/>
      <c r="B591" s="624">
        <v>55</v>
      </c>
      <c r="C591" s="589" t="s">
        <v>551</v>
      </c>
      <c r="D591" s="696">
        <v>26845</v>
      </c>
      <c r="E591" s="591"/>
      <c r="F591" s="172"/>
      <c r="G591" s="172"/>
    </row>
    <row r="592" spans="1:7" ht="16.5" hidden="1" thickBot="1">
      <c r="A592" s="637"/>
      <c r="B592" s="617"/>
      <c r="C592" s="639" t="s">
        <v>830</v>
      </c>
      <c r="D592" s="658">
        <f>SUM(D590:D591)</f>
        <v>105577</v>
      </c>
      <c r="E592" s="591"/>
      <c r="F592" s="172"/>
      <c r="G592" s="172"/>
    </row>
    <row r="593" spans="1:7" ht="15.75" hidden="1">
      <c r="A593" s="635"/>
      <c r="B593" s="612"/>
      <c r="C593" s="647"/>
      <c r="D593" s="698"/>
      <c r="E593" s="591"/>
      <c r="F593" s="172"/>
      <c r="G593" s="172"/>
    </row>
    <row r="594" spans="1:8" ht="15.75" hidden="1">
      <c r="A594" s="628" t="s">
        <v>479</v>
      </c>
      <c r="B594" s="625"/>
      <c r="C594" s="694" t="s">
        <v>855</v>
      </c>
      <c r="D594" s="693"/>
      <c r="E594" s="591"/>
      <c r="F594" s="172"/>
      <c r="G594" s="172"/>
      <c r="H594" s="172"/>
    </row>
    <row r="595" spans="1:8" ht="15.75" hidden="1">
      <c r="A595" s="628"/>
      <c r="B595" s="625">
        <v>50</v>
      </c>
      <c r="C595" s="695" t="s">
        <v>828</v>
      </c>
      <c r="D595" s="660">
        <v>63984</v>
      </c>
      <c r="E595" s="591"/>
      <c r="F595" s="172"/>
      <c r="G595" s="172"/>
      <c r="H595" s="172"/>
    </row>
    <row r="596" spans="1:8" ht="15.75" hidden="1">
      <c r="A596" s="635"/>
      <c r="B596" s="624">
        <v>55</v>
      </c>
      <c r="C596" s="589" t="s">
        <v>551</v>
      </c>
      <c r="D596" s="696">
        <v>9200</v>
      </c>
      <c r="E596" s="591"/>
      <c r="F596" s="172"/>
      <c r="G596" s="172"/>
      <c r="H596" s="172"/>
    </row>
    <row r="597" spans="1:8" ht="15.75" hidden="1">
      <c r="A597" s="635"/>
      <c r="B597" s="612">
        <v>6</v>
      </c>
      <c r="C597" s="636" t="s">
        <v>829</v>
      </c>
      <c r="D597" s="696">
        <v>250</v>
      </c>
      <c r="E597" s="591"/>
      <c r="F597" s="172"/>
      <c r="G597" s="172"/>
      <c r="H597" s="172"/>
    </row>
    <row r="598" spans="1:8" ht="16.5" hidden="1" thickBot="1">
      <c r="A598" s="637"/>
      <c r="B598" s="617"/>
      <c r="C598" s="639" t="s">
        <v>830</v>
      </c>
      <c r="D598" s="658">
        <f>SUM(D595:D597)</f>
        <v>73434</v>
      </c>
      <c r="E598" s="591"/>
      <c r="F598" s="172"/>
      <c r="G598" s="172"/>
      <c r="H598" s="172"/>
    </row>
    <row r="599" spans="1:8" ht="16.5" hidden="1" thickBot="1">
      <c r="A599" s="637"/>
      <c r="B599" s="617"/>
      <c r="C599" s="639"/>
      <c r="D599" s="658"/>
      <c r="E599" s="591"/>
      <c r="F599" s="172"/>
      <c r="G599" s="172"/>
      <c r="H599" s="172"/>
    </row>
    <row r="600" spans="1:8" ht="16.5" hidden="1" thickBot="1">
      <c r="A600" s="665" t="s">
        <v>483</v>
      </c>
      <c r="B600" s="617"/>
      <c r="C600" s="874" t="s">
        <v>484</v>
      </c>
      <c r="D600" s="658">
        <v>133856</v>
      </c>
      <c r="E600" s="591"/>
      <c r="F600" s="172"/>
      <c r="G600" s="172"/>
      <c r="H600" s="172"/>
    </row>
    <row r="601" spans="1:8" ht="15.75" hidden="1">
      <c r="A601" s="650"/>
      <c r="B601" s="651"/>
      <c r="C601" s="875"/>
      <c r="D601" s="708"/>
      <c r="E601" s="591"/>
      <c r="F601" s="172"/>
      <c r="G601" s="172"/>
      <c r="H601" s="172"/>
    </row>
    <row r="602" spans="1:8" ht="16.5" hidden="1" thickBot="1">
      <c r="A602" s="665" t="s">
        <v>498</v>
      </c>
      <c r="B602" s="617">
        <v>55</v>
      </c>
      <c r="C602" s="874" t="s">
        <v>499</v>
      </c>
      <c r="D602" s="658">
        <v>-2630266</v>
      </c>
      <c r="E602" s="591"/>
      <c r="F602" s="172"/>
      <c r="G602" s="172"/>
      <c r="H602" s="172"/>
    </row>
    <row r="603" spans="1:8" ht="15.75" hidden="1">
      <c r="A603" s="635"/>
      <c r="B603" s="612"/>
      <c r="C603" s="647"/>
      <c r="D603" s="711"/>
      <c r="E603" s="591"/>
      <c r="F603" s="172"/>
      <c r="G603" s="172"/>
      <c r="H603" s="172"/>
    </row>
    <row r="604" spans="1:8" ht="16.5" hidden="1" thickBot="1">
      <c r="A604" s="665" t="s">
        <v>498</v>
      </c>
      <c r="B604" s="617">
        <v>55</v>
      </c>
      <c r="C604" s="874" t="s">
        <v>511</v>
      </c>
      <c r="D604" s="658">
        <f>1511179-D613</f>
        <v>1215968</v>
      </c>
      <c r="E604" s="719"/>
      <c r="F604" s="720"/>
      <c r="G604" s="725"/>
      <c r="H604" s="714"/>
    </row>
    <row r="605" spans="1:8" ht="15.75" hidden="1">
      <c r="A605" s="715"/>
      <c r="B605" s="785"/>
      <c r="C605" s="876"/>
      <c r="D605" s="718"/>
      <c r="E605" s="719"/>
      <c r="F605" s="720"/>
      <c r="G605" s="725"/>
      <c r="H605" s="714"/>
    </row>
    <row r="606" spans="1:8" ht="15.75" hidden="1">
      <c r="A606" s="629" t="s">
        <v>514</v>
      </c>
      <c r="B606" s="877"/>
      <c r="C606" s="878" t="s">
        <v>938</v>
      </c>
      <c r="D606" s="761"/>
      <c r="E606" s="719"/>
      <c r="F606" s="879"/>
      <c r="G606" s="725"/>
      <c r="H606" s="714"/>
    </row>
    <row r="607" spans="1:8" ht="15.75" hidden="1">
      <c r="A607" s="629"/>
      <c r="B607" s="624"/>
      <c r="C607" s="632"/>
      <c r="D607" s="761"/>
      <c r="E607" s="719"/>
      <c r="F607" s="720"/>
      <c r="G607" s="725"/>
      <c r="H607" s="714"/>
    </row>
    <row r="608" spans="1:8" ht="15.75" hidden="1">
      <c r="A608" s="880"/>
      <c r="B608" s="624">
        <v>50</v>
      </c>
      <c r="C608" s="589" t="s">
        <v>828</v>
      </c>
      <c r="D608" s="764"/>
      <c r="E608" s="719"/>
      <c r="F608" s="720"/>
      <c r="G608" s="725"/>
      <c r="H608" s="714"/>
    </row>
    <row r="609" spans="1:8" ht="15.75" hidden="1">
      <c r="A609" s="629"/>
      <c r="B609" s="624">
        <v>55</v>
      </c>
      <c r="C609" s="589" t="s">
        <v>551</v>
      </c>
      <c r="D609" s="764">
        <v>295211</v>
      </c>
      <c r="E609" s="719"/>
      <c r="F609" s="720"/>
      <c r="G609" s="725"/>
      <c r="H609" s="714"/>
    </row>
    <row r="610" spans="1:8" ht="15.75" hidden="1">
      <c r="A610" s="629"/>
      <c r="B610" s="624">
        <v>4</v>
      </c>
      <c r="C610" s="589" t="s">
        <v>870</v>
      </c>
      <c r="D610" s="764"/>
      <c r="E610" s="719"/>
      <c r="F610" s="720"/>
      <c r="G610" s="725"/>
      <c r="H610" s="714"/>
    </row>
    <row r="611" spans="1:8" ht="15.75" hidden="1">
      <c r="A611" s="629"/>
      <c r="B611" s="624">
        <v>6</v>
      </c>
      <c r="C611" s="589" t="s">
        <v>829</v>
      </c>
      <c r="D611" s="764"/>
      <c r="E611" s="719"/>
      <c r="F611" s="720"/>
      <c r="G611" s="725"/>
      <c r="H611" s="714"/>
    </row>
    <row r="612" spans="1:8" ht="15.75" hidden="1">
      <c r="A612" s="629"/>
      <c r="B612" s="624">
        <v>15</v>
      </c>
      <c r="C612" s="589" t="s">
        <v>856</v>
      </c>
      <c r="D612" s="764"/>
      <c r="E612" s="719"/>
      <c r="F612" s="720"/>
      <c r="G612" s="725"/>
      <c r="H612" s="714"/>
    </row>
    <row r="613" spans="1:8" ht="16.5" hidden="1" thickBot="1">
      <c r="A613" s="784"/>
      <c r="B613" s="606"/>
      <c r="C613" s="701" t="s">
        <v>830</v>
      </c>
      <c r="D613" s="701">
        <f>SUM(D608:D612)</f>
        <v>295211</v>
      </c>
      <c r="E613" s="719"/>
      <c r="F613" s="720"/>
      <c r="G613" s="725"/>
      <c r="H613" s="714"/>
    </row>
    <row r="614" spans="1:8" ht="16.5" hidden="1" thickBot="1">
      <c r="A614" s="721"/>
      <c r="B614" s="881"/>
      <c r="C614" s="882"/>
      <c r="D614" s="724"/>
      <c r="E614" s="719"/>
      <c r="F614" s="720"/>
      <c r="G614" s="725"/>
      <c r="H614" s="714"/>
    </row>
    <row r="615" spans="1:8" ht="16.5" hidden="1" thickBot="1">
      <c r="A615" s="726" t="s">
        <v>521</v>
      </c>
      <c r="B615" s="727"/>
      <c r="C615" s="728" t="s">
        <v>525</v>
      </c>
      <c r="D615" s="729">
        <f>D617+D619+D625</f>
        <v>0</v>
      </c>
      <c r="E615" s="719"/>
      <c r="F615" s="720"/>
      <c r="G615" s="725"/>
      <c r="H615" s="714"/>
    </row>
    <row r="616" spans="1:8" ht="15.75" hidden="1">
      <c r="A616" s="731"/>
      <c r="B616" s="883"/>
      <c r="C616" s="884"/>
      <c r="D616" s="734"/>
      <c r="E616" s="719"/>
      <c r="F616" s="720"/>
      <c r="G616" s="725"/>
      <c r="H616" s="714"/>
    </row>
    <row r="617" spans="1:8" ht="15.75" hidden="1">
      <c r="A617" s="735"/>
      <c r="B617" s="740">
        <v>55</v>
      </c>
      <c r="C617" s="885" t="s">
        <v>527</v>
      </c>
      <c r="D617" s="702"/>
      <c r="E617" s="719"/>
      <c r="F617" s="720"/>
      <c r="G617" s="725"/>
      <c r="H617" s="714"/>
    </row>
    <row r="618" spans="1:8" ht="15.75" hidden="1">
      <c r="A618" s="735"/>
      <c r="B618" s="740">
        <v>55</v>
      </c>
      <c r="C618" s="885" t="s">
        <v>924</v>
      </c>
      <c r="D618" s="702"/>
      <c r="E618" s="719"/>
      <c r="F618" s="720"/>
      <c r="G618" s="725"/>
      <c r="H618" s="714"/>
    </row>
    <row r="619" spans="1:8" ht="15.75" hidden="1">
      <c r="A619" s="735"/>
      <c r="B619" s="740"/>
      <c r="C619" s="885" t="s">
        <v>860</v>
      </c>
      <c r="D619" s="702"/>
      <c r="E619" s="719"/>
      <c r="F619" s="720"/>
      <c r="G619" s="725"/>
      <c r="H619" s="714"/>
    </row>
    <row r="620" spans="1:8" ht="15.75" hidden="1">
      <c r="A620" s="735"/>
      <c r="B620" s="740"/>
      <c r="C620" s="886" t="s">
        <v>535</v>
      </c>
      <c r="D620" s="739"/>
      <c r="E620" s="719"/>
      <c r="F620" s="720"/>
      <c r="G620" s="725"/>
      <c r="H620" s="714"/>
    </row>
    <row r="621" spans="1:8" ht="15.75" hidden="1">
      <c r="A621" s="735"/>
      <c r="B621" s="740"/>
      <c r="C621" s="886" t="s">
        <v>925</v>
      </c>
      <c r="D621" s="739"/>
      <c r="E621" s="719"/>
      <c r="F621" s="720"/>
      <c r="G621" s="725"/>
      <c r="H621" s="714"/>
    </row>
    <row r="622" spans="1:8" ht="15.75" hidden="1">
      <c r="A622" s="735"/>
      <c r="B622" s="740"/>
      <c r="C622" s="886" t="s">
        <v>862</v>
      </c>
      <c r="D622" s="739"/>
      <c r="E622" s="719"/>
      <c r="F622" s="720"/>
      <c r="G622" s="725"/>
      <c r="H622" s="714"/>
    </row>
    <row r="623" spans="1:8" ht="15.75" hidden="1">
      <c r="A623" s="735"/>
      <c r="B623" s="740"/>
      <c r="C623" s="886" t="s">
        <v>863</v>
      </c>
      <c r="D623" s="739"/>
      <c r="E623" s="719"/>
      <c r="F623" s="720"/>
      <c r="G623" s="725"/>
      <c r="H623" s="714"/>
    </row>
    <row r="624" spans="1:8" ht="15.75" hidden="1">
      <c r="A624" s="735"/>
      <c r="B624" s="740"/>
      <c r="C624" s="886" t="s">
        <v>864</v>
      </c>
      <c r="D624" s="739"/>
      <c r="E624" s="719"/>
      <c r="F624" s="720"/>
      <c r="G624" s="725"/>
      <c r="H624" s="714"/>
    </row>
    <row r="625" spans="1:8" ht="15.75" hidden="1">
      <c r="A625" s="735"/>
      <c r="B625" s="740">
        <v>55</v>
      </c>
      <c r="C625" s="885" t="s">
        <v>926</v>
      </c>
      <c r="D625" s="702"/>
      <c r="E625" s="719"/>
      <c r="F625" s="720"/>
      <c r="G625" s="725"/>
      <c r="H625" s="714"/>
    </row>
    <row r="626" spans="1:11" ht="16.5" hidden="1" thickBot="1">
      <c r="A626" s="854" t="s">
        <v>540</v>
      </c>
      <c r="B626" s="887"/>
      <c r="C626" s="888" t="s">
        <v>867</v>
      </c>
      <c r="D626" s="864">
        <f>D641+D645+D656+D667+D672+D665+D643+D632</f>
        <v>6528719</v>
      </c>
      <c r="E626" s="932">
        <v>6528719</v>
      </c>
      <c r="F626" s="865">
        <f>D626-E626</f>
        <v>0</v>
      </c>
      <c r="G626" s="172"/>
      <c r="H626" s="172"/>
      <c r="I626" s="172"/>
      <c r="J626" s="172"/>
      <c r="K626" s="172"/>
    </row>
    <row r="627" spans="1:11" ht="15.75" hidden="1">
      <c r="A627" s="641"/>
      <c r="B627" s="691"/>
      <c r="C627" s="889"/>
      <c r="D627" s="795"/>
      <c r="E627" s="933" t="s">
        <v>939</v>
      </c>
      <c r="F627" s="171" t="s">
        <v>940</v>
      </c>
      <c r="G627" s="171" t="s">
        <v>941</v>
      </c>
      <c r="H627" s="934" t="s">
        <v>942</v>
      </c>
      <c r="I627" s="934" t="s">
        <v>943</v>
      </c>
      <c r="J627" s="934" t="s">
        <v>944</v>
      </c>
      <c r="K627" s="172"/>
    </row>
    <row r="628" spans="1:11" ht="15.75" hidden="1">
      <c r="A628" s="641" t="s">
        <v>548</v>
      </c>
      <c r="B628" s="691"/>
      <c r="C628" s="935" t="s">
        <v>945</v>
      </c>
      <c r="D628" s="780"/>
      <c r="E628" s="591"/>
      <c r="F628" s="172"/>
      <c r="G628" s="172"/>
      <c r="H628" s="172"/>
      <c r="I628" s="172"/>
      <c r="J628" s="172"/>
      <c r="K628" s="172"/>
    </row>
    <row r="629" spans="1:11" ht="15.75" hidden="1">
      <c r="A629" s="641"/>
      <c r="B629" s="779"/>
      <c r="C629" s="936"/>
      <c r="D629" s="780"/>
      <c r="E629" s="591"/>
      <c r="F629" s="172"/>
      <c r="G629" s="172"/>
      <c r="H629" s="172"/>
      <c r="I629" s="172"/>
      <c r="J629" s="172"/>
      <c r="K629" s="172"/>
    </row>
    <row r="630" spans="1:11" ht="15.75" hidden="1">
      <c r="A630" s="641"/>
      <c r="B630" s="740">
        <v>55</v>
      </c>
      <c r="C630" s="766" t="s">
        <v>551</v>
      </c>
      <c r="D630" s="937">
        <f>K630</f>
        <v>1354063</v>
      </c>
      <c r="E630" s="591"/>
      <c r="F630" s="172">
        <v>377612</v>
      </c>
      <c r="G630" s="172">
        <v>606997</v>
      </c>
      <c r="H630" s="172">
        <v>117718</v>
      </c>
      <c r="I630" s="172">
        <v>138661</v>
      </c>
      <c r="J630" s="172">
        <v>113075</v>
      </c>
      <c r="K630" s="591">
        <f>SUM(E630:J630)</f>
        <v>1354063</v>
      </c>
    </row>
    <row r="631" spans="1:11" ht="15.75" hidden="1">
      <c r="A631" s="635"/>
      <c r="B631" s="612">
        <v>15</v>
      </c>
      <c r="C631" s="767" t="s">
        <v>856</v>
      </c>
      <c r="D631" s="938">
        <f>K631</f>
        <v>1852141</v>
      </c>
      <c r="E631" s="591">
        <v>194700</v>
      </c>
      <c r="F631" s="172"/>
      <c r="G631" s="172">
        <v>739423</v>
      </c>
      <c r="H631" s="172">
        <v>138149</v>
      </c>
      <c r="I631" s="172">
        <v>263830</v>
      </c>
      <c r="J631" s="172">
        <v>516039</v>
      </c>
      <c r="K631" s="591">
        <f>SUM(E631:J631)</f>
        <v>1852141</v>
      </c>
    </row>
    <row r="632" spans="1:11" ht="16.5" hidden="1" thickBot="1">
      <c r="A632" s="637"/>
      <c r="B632" s="617"/>
      <c r="C632" s="639" t="s">
        <v>830</v>
      </c>
      <c r="D632" s="639">
        <f>SUM(D627:D631)</f>
        <v>3206204</v>
      </c>
      <c r="E632" s="591">
        <f aca="true" t="shared" si="4" ref="E632:K632">SUM(E630:E631)</f>
        <v>194700</v>
      </c>
      <c r="F632" s="591">
        <f t="shared" si="4"/>
        <v>377612</v>
      </c>
      <c r="G632" s="591">
        <f t="shared" si="4"/>
        <v>1346420</v>
      </c>
      <c r="H632" s="591">
        <f t="shared" si="4"/>
        <v>255867</v>
      </c>
      <c r="I632" s="591">
        <f t="shared" si="4"/>
        <v>402491</v>
      </c>
      <c r="J632" s="591">
        <f t="shared" si="4"/>
        <v>629114</v>
      </c>
      <c r="K632" s="591">
        <f t="shared" si="4"/>
        <v>3206204</v>
      </c>
    </row>
    <row r="633" spans="1:11" ht="15.75" hidden="1">
      <c r="A633" s="641"/>
      <c r="B633" s="691"/>
      <c r="C633" s="889"/>
      <c r="D633" s="780"/>
      <c r="E633" s="591"/>
      <c r="F633" s="172"/>
      <c r="G633" s="172"/>
      <c r="H633" s="172"/>
      <c r="I633" s="172"/>
      <c r="J633" s="172"/>
      <c r="K633" s="172"/>
    </row>
    <row r="634" spans="1:11" ht="15.75" hidden="1">
      <c r="A634" s="628" t="s">
        <v>558</v>
      </c>
      <c r="B634" s="625"/>
      <c r="C634" s="760" t="s">
        <v>869</v>
      </c>
      <c r="D634" s="761"/>
      <c r="E634" s="591"/>
      <c r="F634" s="172"/>
      <c r="G634" s="172"/>
      <c r="H634" s="172"/>
      <c r="I634" s="172"/>
      <c r="J634" s="172"/>
      <c r="K634" s="172"/>
    </row>
    <row r="635" spans="1:11" ht="15.75" hidden="1">
      <c r="A635" s="628"/>
      <c r="B635" s="625"/>
      <c r="C635" s="762"/>
      <c r="D635" s="761"/>
      <c r="E635" s="591"/>
      <c r="F635" s="172"/>
      <c r="G635" s="172"/>
      <c r="H635" s="172"/>
      <c r="I635" s="172"/>
      <c r="J635" s="172"/>
      <c r="K635" s="172"/>
    </row>
    <row r="636" spans="1:11" ht="15.75" hidden="1">
      <c r="A636" s="633"/>
      <c r="B636" s="625">
        <v>50</v>
      </c>
      <c r="C636" s="763" t="s">
        <v>828</v>
      </c>
      <c r="D636" s="764"/>
      <c r="E636" s="591"/>
      <c r="F636" s="172"/>
      <c r="G636" s="172"/>
      <c r="H636" s="172"/>
      <c r="I636" s="172"/>
      <c r="J636" s="172"/>
      <c r="K636" s="172"/>
    </row>
    <row r="637" spans="1:11" ht="15.75" hidden="1">
      <c r="A637" s="765"/>
      <c r="B637" s="740">
        <v>55</v>
      </c>
      <c r="C637" s="766" t="s">
        <v>551</v>
      </c>
      <c r="D637" s="764">
        <v>-65395</v>
      </c>
      <c r="E637" s="591"/>
      <c r="F637" s="172"/>
      <c r="G637" s="172"/>
      <c r="H637" s="172"/>
      <c r="I637" s="172"/>
      <c r="J637" s="172"/>
      <c r="K637" s="172"/>
    </row>
    <row r="638" spans="1:11" ht="15.75" hidden="1">
      <c r="A638" s="765"/>
      <c r="B638" s="740">
        <v>4</v>
      </c>
      <c r="C638" s="766" t="s">
        <v>870</v>
      </c>
      <c r="D638" s="764">
        <v>-1100</v>
      </c>
      <c r="E638" s="591"/>
      <c r="F638" s="172"/>
      <c r="G638" s="172"/>
      <c r="H638" s="172"/>
      <c r="I638" s="172"/>
      <c r="J638" s="172"/>
      <c r="K638" s="172"/>
    </row>
    <row r="639" spans="1:11" ht="15.75" hidden="1">
      <c r="A639" s="765"/>
      <c r="B639" s="740">
        <v>6</v>
      </c>
      <c r="C639" s="766" t="s">
        <v>829</v>
      </c>
      <c r="D639" s="764"/>
      <c r="E639" s="591"/>
      <c r="F639" s="591"/>
      <c r="G639" s="172"/>
      <c r="H639" s="172"/>
      <c r="I639" s="172"/>
      <c r="J639" s="172"/>
      <c r="K639" s="172"/>
    </row>
    <row r="640" spans="1:11" ht="16.5" hidden="1" thickBot="1">
      <c r="A640" s="635"/>
      <c r="B640" s="612">
        <v>15</v>
      </c>
      <c r="C640" s="767" t="s">
        <v>856</v>
      </c>
      <c r="D640" s="768">
        <v>112770</v>
      </c>
      <c r="E640" s="591"/>
      <c r="F640" s="172"/>
      <c r="G640" s="172"/>
      <c r="H640" s="172"/>
      <c r="I640" s="172"/>
      <c r="J640" s="172"/>
      <c r="K640" s="172"/>
    </row>
    <row r="641" spans="1:11" ht="16.5" hidden="1" thickBot="1">
      <c r="A641" s="637"/>
      <c r="B641" s="617"/>
      <c r="C641" s="639" t="s">
        <v>830</v>
      </c>
      <c r="D641" s="640">
        <f>SUM(D636:D640)</f>
        <v>46275</v>
      </c>
      <c r="E641" s="591"/>
      <c r="F641" s="172"/>
      <c r="G641" s="172"/>
      <c r="H641" s="172"/>
      <c r="I641" s="172"/>
      <c r="J641" s="172"/>
      <c r="K641" s="172"/>
    </row>
    <row r="642" spans="1:5" ht="15.75" hidden="1">
      <c r="A642" s="769"/>
      <c r="B642" s="612"/>
      <c r="C642" s="697"/>
      <c r="D642" s="770"/>
      <c r="E642" s="591"/>
    </row>
    <row r="643" spans="1:5" ht="16.5" hidden="1" thickBot="1">
      <c r="A643" s="637" t="s">
        <v>562</v>
      </c>
      <c r="B643" s="704"/>
      <c r="C643" s="639" t="s">
        <v>871</v>
      </c>
      <c r="D643" s="640"/>
      <c r="E643" s="591"/>
    </row>
    <row r="644" spans="1:5" ht="15.75" hidden="1">
      <c r="A644" s="635"/>
      <c r="B644" s="612"/>
      <c r="C644" s="647"/>
      <c r="D644" s="648"/>
      <c r="E644" s="591"/>
    </row>
    <row r="645" spans="1:5" ht="16.5" hidden="1" thickBot="1">
      <c r="A645" s="666" t="s">
        <v>566</v>
      </c>
      <c r="B645" s="771">
        <v>4</v>
      </c>
      <c r="C645" s="772" t="s">
        <v>872</v>
      </c>
      <c r="D645" s="772">
        <f>D648+D647</f>
        <v>60000</v>
      </c>
      <c r="E645" s="591"/>
    </row>
    <row r="646" spans="1:5" ht="15.75" hidden="1">
      <c r="A646" s="776"/>
      <c r="B646" s="890"/>
      <c r="C646" s="790"/>
      <c r="D646" s="790"/>
      <c r="E646" s="591"/>
    </row>
    <row r="647" spans="1:5" ht="15.75" hidden="1">
      <c r="A647" s="629"/>
      <c r="B647" s="777">
        <v>55</v>
      </c>
      <c r="C647" s="589" t="s">
        <v>551</v>
      </c>
      <c r="D647" s="764">
        <v>-40000</v>
      </c>
      <c r="E647" s="591"/>
    </row>
    <row r="648" spans="1:5" ht="15.75" hidden="1">
      <c r="A648" s="629"/>
      <c r="B648" s="777">
        <v>4</v>
      </c>
      <c r="C648" s="589" t="s">
        <v>870</v>
      </c>
      <c r="D648" s="764">
        <v>100000</v>
      </c>
      <c r="E648" s="591"/>
    </row>
    <row r="649" spans="1:5" ht="15.75" hidden="1">
      <c r="A649" s="642"/>
      <c r="B649" s="779"/>
      <c r="C649" s="643"/>
      <c r="D649" s="780"/>
      <c r="E649" s="591"/>
    </row>
    <row r="650" spans="1:5" ht="15.75" hidden="1">
      <c r="A650" s="629" t="s">
        <v>570</v>
      </c>
      <c r="B650" s="777"/>
      <c r="C650" s="630" t="s">
        <v>873</v>
      </c>
      <c r="D650" s="761"/>
      <c r="E650" s="591"/>
    </row>
    <row r="651" spans="1:5" ht="15.75" hidden="1">
      <c r="A651" s="629"/>
      <c r="B651" s="781"/>
      <c r="C651" s="632"/>
      <c r="D651" s="761"/>
      <c r="E651" s="591"/>
    </row>
    <row r="652" spans="1:5" ht="15.75" hidden="1">
      <c r="A652" s="765"/>
      <c r="B652" s="740">
        <v>50</v>
      </c>
      <c r="C652" s="702" t="s">
        <v>828</v>
      </c>
      <c r="D652" s="892">
        <v>22748</v>
      </c>
      <c r="E652" s="591"/>
    </row>
    <row r="653" spans="1:5" ht="15.75" hidden="1">
      <c r="A653" s="765"/>
      <c r="B653" s="740">
        <v>55</v>
      </c>
      <c r="C653" s="702" t="s">
        <v>551</v>
      </c>
      <c r="D653" s="892">
        <v>-152699</v>
      </c>
      <c r="E653" s="591"/>
    </row>
    <row r="654" spans="1:5" ht="15.75" hidden="1">
      <c r="A654" s="765"/>
      <c r="B654" s="740">
        <v>6</v>
      </c>
      <c r="C654" s="702" t="s">
        <v>829</v>
      </c>
      <c r="D654" s="892"/>
      <c r="E654" s="591"/>
    </row>
    <row r="655" spans="1:5" ht="15.75" hidden="1">
      <c r="A655" s="939"/>
      <c r="B655" s="940">
        <v>15</v>
      </c>
      <c r="C655" s="754" t="s">
        <v>856</v>
      </c>
      <c r="D655" s="941">
        <v>157699</v>
      </c>
      <c r="E655" s="591"/>
    </row>
    <row r="656" spans="1:5" ht="16.5" hidden="1" thickBot="1">
      <c r="A656" s="942"/>
      <c r="B656" s="943"/>
      <c r="C656" s="757" t="s">
        <v>830</v>
      </c>
      <c r="D656" s="758">
        <f>SUM(D652:D655)</f>
        <v>27748</v>
      </c>
      <c r="E656" s="591"/>
    </row>
    <row r="657" spans="1:5" ht="15.75" hidden="1">
      <c r="A657" s="641"/>
      <c r="B657" s="642"/>
      <c r="C657" s="643"/>
      <c r="D657" s="812"/>
      <c r="E657" s="591"/>
    </row>
    <row r="658" spans="1:5" ht="15.75" hidden="1">
      <c r="A658" s="628" t="s">
        <v>572</v>
      </c>
      <c r="B658" s="629"/>
      <c r="C658" s="630" t="s">
        <v>874</v>
      </c>
      <c r="D658" s="649"/>
      <c r="E658" s="591"/>
    </row>
    <row r="659" spans="1:5" ht="15.75" hidden="1">
      <c r="A659" s="628"/>
      <c r="B659" s="629"/>
      <c r="C659" s="632"/>
      <c r="D659" s="649"/>
      <c r="E659" s="591"/>
    </row>
    <row r="660" spans="1:5" ht="15.75" hidden="1">
      <c r="A660" s="633"/>
      <c r="B660" s="625">
        <v>50</v>
      </c>
      <c r="C660" s="589" t="s">
        <v>828</v>
      </c>
      <c r="D660" s="631"/>
      <c r="E660" s="591"/>
    </row>
    <row r="661" spans="1:5" ht="15.75" hidden="1">
      <c r="A661" s="628"/>
      <c r="B661" s="651">
        <v>55</v>
      </c>
      <c r="C661" s="589" t="s">
        <v>551</v>
      </c>
      <c r="D661" s="631">
        <v>255700</v>
      </c>
      <c r="E661" s="591"/>
    </row>
    <row r="662" spans="1:5" ht="15.75" hidden="1">
      <c r="A662" s="635"/>
      <c r="B662" s="612">
        <v>4</v>
      </c>
      <c r="C662" s="636" t="s">
        <v>870</v>
      </c>
      <c r="D662" s="613"/>
      <c r="E662" s="591"/>
    </row>
    <row r="663" spans="1:5" ht="15.75" hidden="1">
      <c r="A663" s="635"/>
      <c r="B663" s="740">
        <v>6</v>
      </c>
      <c r="C663" s="702" t="s">
        <v>829</v>
      </c>
      <c r="D663" s="613"/>
      <c r="E663" s="591"/>
    </row>
    <row r="664" spans="1:5" ht="15.75" hidden="1">
      <c r="A664" s="635"/>
      <c r="B664" s="612">
        <v>45</v>
      </c>
      <c r="C664" s="636" t="s">
        <v>875</v>
      </c>
      <c r="D664" s="613" t="s">
        <v>220</v>
      </c>
      <c r="E664" s="591"/>
    </row>
    <row r="665" spans="1:5" ht="16.5" hidden="1" thickBot="1">
      <c r="A665" s="637"/>
      <c r="B665" s="638"/>
      <c r="C665" s="639" t="s">
        <v>830</v>
      </c>
      <c r="D665" s="640">
        <f>SUM(D660:D664)</f>
        <v>255700</v>
      </c>
      <c r="E665" s="591"/>
    </row>
    <row r="666" spans="1:5" ht="15.75" hidden="1">
      <c r="A666" s="641"/>
      <c r="B666" s="642"/>
      <c r="C666" s="643"/>
      <c r="D666" s="786"/>
      <c r="E666" s="591"/>
    </row>
    <row r="667" spans="1:5" ht="16.5" hidden="1" thickBot="1">
      <c r="A667" s="638" t="s">
        <v>588</v>
      </c>
      <c r="B667" s="787"/>
      <c r="C667" s="756" t="s">
        <v>876</v>
      </c>
      <c r="D667" s="772">
        <f>D669+D670</f>
        <v>2850792</v>
      </c>
      <c r="E667" s="591"/>
    </row>
    <row r="668" spans="1:5" ht="15.75" hidden="1">
      <c r="A668" s="642"/>
      <c r="B668" s="788"/>
      <c r="C668" s="789"/>
      <c r="D668" s="790"/>
      <c r="E668" s="591"/>
    </row>
    <row r="669" spans="1:5" ht="15.75" hidden="1">
      <c r="A669" s="629"/>
      <c r="B669" s="791">
        <v>55</v>
      </c>
      <c r="C669" s="766" t="s">
        <v>551</v>
      </c>
      <c r="D669" s="764"/>
      <c r="E669" s="591"/>
    </row>
    <row r="670" spans="1:5" ht="15.75" hidden="1">
      <c r="A670" s="629"/>
      <c r="B670" s="791">
        <v>4</v>
      </c>
      <c r="C670" s="766" t="s">
        <v>870</v>
      </c>
      <c r="D670" s="764">
        <v>2850792</v>
      </c>
      <c r="E670" s="591"/>
    </row>
    <row r="671" spans="1:5" ht="15.75" hidden="1">
      <c r="A671" s="635"/>
      <c r="B671" s="655"/>
      <c r="C671" s="647"/>
      <c r="D671" s="786"/>
      <c r="E671" s="591"/>
    </row>
    <row r="672" spans="1:5" ht="16.5" hidden="1" thickBot="1">
      <c r="A672" s="637" t="s">
        <v>590</v>
      </c>
      <c r="B672" s="617">
        <v>55</v>
      </c>
      <c r="C672" s="639" t="s">
        <v>877</v>
      </c>
      <c r="D672" s="658">
        <v>82000</v>
      </c>
      <c r="E672" s="591"/>
    </row>
    <row r="673" spans="1:5" ht="15.75" hidden="1">
      <c r="A673" s="641"/>
      <c r="B673" s="642"/>
      <c r="C673" s="692"/>
      <c r="D673" s="812"/>
      <c r="E673" s="591"/>
    </row>
    <row r="674" spans="1:9" ht="15.75" hidden="1">
      <c r="A674" s="683" t="s">
        <v>927</v>
      </c>
      <c r="B674" s="684"/>
      <c r="C674" s="685" t="s">
        <v>601</v>
      </c>
      <c r="D674" s="686">
        <f>D704+D687+D720+D718+D712</f>
        <v>5776740</v>
      </c>
      <c r="E674" s="932"/>
      <c r="F674" s="172"/>
      <c r="G674" s="591"/>
      <c r="H674" s="172"/>
      <c r="I674" s="172"/>
    </row>
    <row r="675" spans="1:9" ht="15.75" hidden="1">
      <c r="A675" s="628"/>
      <c r="B675" s="629"/>
      <c r="C675" s="694"/>
      <c r="D675" s="649"/>
      <c r="E675" s="591"/>
      <c r="F675" s="172"/>
      <c r="G675" s="172"/>
      <c r="H675" s="172"/>
      <c r="I675" s="172"/>
    </row>
    <row r="676" spans="1:9" ht="15.75" hidden="1">
      <c r="A676" s="628" t="s">
        <v>602</v>
      </c>
      <c r="B676" s="629"/>
      <c r="C676" s="694" t="s">
        <v>878</v>
      </c>
      <c r="D676" s="649"/>
      <c r="E676" s="591"/>
      <c r="F676" s="172"/>
      <c r="G676" s="172"/>
      <c r="H676" s="172"/>
      <c r="I676" s="172"/>
    </row>
    <row r="677" spans="1:9" ht="15.75" hidden="1">
      <c r="A677" s="628"/>
      <c r="B677" s="629"/>
      <c r="C677" s="694"/>
      <c r="D677" s="649"/>
      <c r="E677" s="895" t="s">
        <v>879</v>
      </c>
      <c r="F677" s="896" t="s">
        <v>880</v>
      </c>
      <c r="G677" s="896" t="s">
        <v>881</v>
      </c>
      <c r="H677" s="897" t="s">
        <v>333</v>
      </c>
      <c r="I677" s="172"/>
    </row>
    <row r="678" spans="1:9" ht="15.75" hidden="1">
      <c r="A678" s="628"/>
      <c r="B678" s="634">
        <v>50</v>
      </c>
      <c r="C678" s="800" t="s">
        <v>828</v>
      </c>
      <c r="D678" s="631">
        <f>H678</f>
        <v>30021</v>
      </c>
      <c r="E678" s="895">
        <v>15680</v>
      </c>
      <c r="F678" s="898">
        <f>11284</f>
        <v>11284</v>
      </c>
      <c r="G678" s="898">
        <v>3057</v>
      </c>
      <c r="H678" s="816">
        <f>E678+F678+G678</f>
        <v>30021</v>
      </c>
      <c r="I678" s="172"/>
    </row>
    <row r="679" spans="1:9" ht="15.75" hidden="1">
      <c r="A679" s="628"/>
      <c r="B679" s="634">
        <v>55</v>
      </c>
      <c r="C679" s="695" t="s">
        <v>551</v>
      </c>
      <c r="D679" s="631">
        <f>H679</f>
        <v>546912</v>
      </c>
      <c r="E679" s="895">
        <v>269517</v>
      </c>
      <c r="F679" s="898">
        <v>-26425</v>
      </c>
      <c r="G679" s="898">
        <v>303820</v>
      </c>
      <c r="H679" s="816">
        <f aca="true" t="shared" si="5" ref="H679:H686">E679+F679+G679</f>
        <v>546912</v>
      </c>
      <c r="I679" s="172"/>
    </row>
    <row r="680" spans="1:9" ht="15.75" hidden="1">
      <c r="A680" s="628"/>
      <c r="B680" s="634"/>
      <c r="C680" s="589" t="s">
        <v>611</v>
      </c>
      <c r="D680" s="631">
        <v>31300</v>
      </c>
      <c r="E680" s="895"/>
      <c r="F680" s="898"/>
      <c r="G680" s="898"/>
      <c r="H680" s="816">
        <f t="shared" si="5"/>
        <v>0</v>
      </c>
      <c r="I680" s="172"/>
    </row>
    <row r="681" spans="1:9" ht="15.75" hidden="1">
      <c r="A681" s="628"/>
      <c r="B681" s="634">
        <v>55</v>
      </c>
      <c r="C681" s="695" t="s">
        <v>882</v>
      </c>
      <c r="D681" s="631"/>
      <c r="E681" s="895"/>
      <c r="F681" s="898"/>
      <c r="G681" s="898"/>
      <c r="H681" s="816">
        <f t="shared" si="5"/>
        <v>0</v>
      </c>
      <c r="I681" s="172"/>
    </row>
    <row r="682" spans="1:9" ht="15.75" hidden="1">
      <c r="A682" s="650"/>
      <c r="B682" s="678"/>
      <c r="C682" s="817" t="s">
        <v>883</v>
      </c>
      <c r="D682" s="631"/>
      <c r="E682" s="895"/>
      <c r="F682" s="898"/>
      <c r="G682" s="898"/>
      <c r="H682" s="816">
        <f t="shared" si="5"/>
        <v>0</v>
      </c>
      <c r="I682" s="172"/>
    </row>
    <row r="683" spans="1:9" ht="15.75" hidden="1">
      <c r="A683" s="650"/>
      <c r="B683" s="612">
        <v>6</v>
      </c>
      <c r="C683" s="636" t="s">
        <v>829</v>
      </c>
      <c r="D683" s="631">
        <f>H683</f>
        <v>145</v>
      </c>
      <c r="E683" s="895"/>
      <c r="F683" s="898"/>
      <c r="G683" s="898">
        <v>145</v>
      </c>
      <c r="H683" s="816">
        <f t="shared" si="5"/>
        <v>145</v>
      </c>
      <c r="I683" s="172"/>
    </row>
    <row r="684" spans="1:9" ht="15.75" hidden="1">
      <c r="A684" s="650"/>
      <c r="B684" s="625">
        <v>15</v>
      </c>
      <c r="C684" s="589" t="s">
        <v>836</v>
      </c>
      <c r="D684" s="631">
        <f>H684</f>
        <v>290249</v>
      </c>
      <c r="E684" s="895">
        <v>-3800</v>
      </c>
      <c r="F684" s="898">
        <v>417049</v>
      </c>
      <c r="G684" s="898">
        <v>-123000</v>
      </c>
      <c r="H684" s="816">
        <f t="shared" si="5"/>
        <v>290249</v>
      </c>
      <c r="I684" s="172"/>
    </row>
    <row r="685" spans="1:9" ht="15.75" hidden="1">
      <c r="A685" s="635"/>
      <c r="B685" s="651"/>
      <c r="C685" s="652" t="s">
        <v>837</v>
      </c>
      <c r="D685" s="631"/>
      <c r="E685" s="895"/>
      <c r="F685" s="898"/>
      <c r="G685" s="898"/>
      <c r="H685" s="816">
        <f t="shared" si="5"/>
        <v>0</v>
      </c>
      <c r="I685" s="172"/>
    </row>
    <row r="686" spans="1:9" ht="15.75" hidden="1">
      <c r="A686" s="635"/>
      <c r="B686" s="612" t="s">
        <v>760</v>
      </c>
      <c r="C686" s="636" t="s">
        <v>884</v>
      </c>
      <c r="D686" s="631">
        <f>H686</f>
        <v>0</v>
      </c>
      <c r="E686" s="895"/>
      <c r="F686" s="898"/>
      <c r="G686" s="898"/>
      <c r="H686" s="816">
        <f t="shared" si="5"/>
        <v>0</v>
      </c>
      <c r="I686" s="172"/>
    </row>
    <row r="687" spans="1:9" ht="16.5" hidden="1" thickBot="1">
      <c r="A687" s="637"/>
      <c r="B687" s="638"/>
      <c r="C687" s="639" t="s">
        <v>830</v>
      </c>
      <c r="D687" s="640">
        <f>SUM(D678:D686)</f>
        <v>898627</v>
      </c>
      <c r="E687" s="899">
        <f>SUM(E678:E684)</f>
        <v>281397</v>
      </c>
      <c r="F687" s="900">
        <f>SUM(F678:F686)</f>
        <v>401908</v>
      </c>
      <c r="G687" s="900">
        <f>SUM(G678:G684)</f>
        <v>184022</v>
      </c>
      <c r="H687" s="822">
        <f>SUM(H678:H684)</f>
        <v>867327</v>
      </c>
      <c r="I687" s="865"/>
    </row>
    <row r="688" spans="1:9" ht="15.75" hidden="1">
      <c r="A688" s="641"/>
      <c r="B688" s="642"/>
      <c r="C688" s="643"/>
      <c r="D688" s="649"/>
      <c r="E688" s="901"/>
      <c r="F688" s="902"/>
      <c r="G688" s="778"/>
      <c r="H688" s="591"/>
      <c r="I688" s="172"/>
    </row>
    <row r="689" spans="1:9" ht="15.75" hidden="1">
      <c r="A689" s="628" t="s">
        <v>614</v>
      </c>
      <c r="B689" s="629"/>
      <c r="C689" s="811" t="s">
        <v>885</v>
      </c>
      <c r="D689" s="649"/>
      <c r="E689" s="591"/>
      <c r="F689" s="172"/>
      <c r="G689" s="172"/>
      <c r="H689" s="172"/>
      <c r="I689" s="172"/>
    </row>
    <row r="690" spans="1:9" ht="15.75" hidden="1">
      <c r="A690" s="628"/>
      <c r="B690" s="634"/>
      <c r="C690" s="589"/>
      <c r="D690" s="649"/>
      <c r="E690" s="903" t="s">
        <v>886</v>
      </c>
      <c r="F690" s="904" t="s">
        <v>887</v>
      </c>
      <c r="G690" s="904" t="s">
        <v>888</v>
      </c>
      <c r="H690" s="904" t="s">
        <v>333</v>
      </c>
      <c r="I690" s="172"/>
    </row>
    <row r="691" spans="1:9" ht="15.75" hidden="1">
      <c r="A691" s="628"/>
      <c r="B691" s="634">
        <v>50</v>
      </c>
      <c r="C691" s="589" t="s">
        <v>828</v>
      </c>
      <c r="D691" s="631">
        <f>H691</f>
        <v>-14171</v>
      </c>
      <c r="E691" s="815">
        <v>-14171</v>
      </c>
      <c r="F691" s="816"/>
      <c r="G691" s="816"/>
      <c r="H691" s="816">
        <f>E691+F691+G691</f>
        <v>-14171</v>
      </c>
      <c r="I691" s="172"/>
    </row>
    <row r="692" spans="1:9" ht="15.75" hidden="1">
      <c r="A692" s="628"/>
      <c r="B692" s="634">
        <v>55</v>
      </c>
      <c r="C692" s="589" t="s">
        <v>551</v>
      </c>
      <c r="D692" s="631">
        <f>H692</f>
        <v>1723919</v>
      </c>
      <c r="E692" s="815">
        <v>252548</v>
      </c>
      <c r="F692" s="816">
        <v>-153518</v>
      </c>
      <c r="G692" s="816">
        <v>1624889</v>
      </c>
      <c r="H692" s="816">
        <f aca="true" t="shared" si="6" ref="H692:H704">E692+F692+G692</f>
        <v>1723919</v>
      </c>
      <c r="I692" s="172"/>
    </row>
    <row r="693" spans="1:9" ht="15.75" hidden="1">
      <c r="A693" s="628"/>
      <c r="B693" s="634">
        <v>41</v>
      </c>
      <c r="C693" s="589" t="s">
        <v>889</v>
      </c>
      <c r="D693" s="631">
        <f>H693</f>
        <v>1725250</v>
      </c>
      <c r="E693" s="815">
        <v>547051</v>
      </c>
      <c r="F693" s="816">
        <v>275424</v>
      </c>
      <c r="G693" s="816">
        <v>902775</v>
      </c>
      <c r="H693" s="816">
        <f t="shared" si="6"/>
        <v>1725250</v>
      </c>
      <c r="I693" s="172"/>
    </row>
    <row r="694" spans="1:9" ht="15.75" hidden="1">
      <c r="A694" s="628"/>
      <c r="B694" s="634">
        <v>41</v>
      </c>
      <c r="C694" s="589" t="s">
        <v>890</v>
      </c>
      <c r="D694" s="631">
        <f>H694</f>
        <v>0</v>
      </c>
      <c r="E694" s="815"/>
      <c r="F694" s="816"/>
      <c r="G694" s="816"/>
      <c r="H694" s="816">
        <f t="shared" si="6"/>
        <v>0</v>
      </c>
      <c r="I694" s="172"/>
    </row>
    <row r="695" spans="1:9" ht="15.75" hidden="1">
      <c r="A695" s="628"/>
      <c r="B695" s="634">
        <v>55</v>
      </c>
      <c r="C695" s="695" t="s">
        <v>882</v>
      </c>
      <c r="D695" s="631">
        <v>1730000</v>
      </c>
      <c r="E695" s="815"/>
      <c r="F695" s="816"/>
      <c r="G695" s="816"/>
      <c r="H695" s="816">
        <f t="shared" si="6"/>
        <v>0</v>
      </c>
      <c r="I695" s="172"/>
    </row>
    <row r="696" spans="1:9" ht="15.75" hidden="1">
      <c r="A696" s="628"/>
      <c r="B696" s="634"/>
      <c r="C696" s="695" t="s">
        <v>883</v>
      </c>
      <c r="D696" s="631">
        <f>H696</f>
        <v>0</v>
      </c>
      <c r="E696" s="815"/>
      <c r="F696" s="816"/>
      <c r="G696" s="816"/>
      <c r="H696" s="816">
        <f t="shared" si="6"/>
        <v>0</v>
      </c>
      <c r="I696" s="172"/>
    </row>
    <row r="697" spans="1:9" ht="15.75" hidden="1">
      <c r="A697" s="628"/>
      <c r="B697" s="612">
        <v>4</v>
      </c>
      <c r="C697" s="636" t="s">
        <v>870</v>
      </c>
      <c r="D697" s="631">
        <f>H697</f>
        <v>1000</v>
      </c>
      <c r="E697" s="815"/>
      <c r="F697" s="816"/>
      <c r="G697" s="816">
        <v>1000</v>
      </c>
      <c r="H697" s="816">
        <f t="shared" si="6"/>
        <v>1000</v>
      </c>
      <c r="I697" s="172"/>
    </row>
    <row r="698" spans="1:9" ht="15.75" hidden="1">
      <c r="A698" s="650"/>
      <c r="B698" s="612">
        <v>6</v>
      </c>
      <c r="C698" s="636" t="s">
        <v>829</v>
      </c>
      <c r="D698" s="631">
        <f>H698</f>
        <v>2200</v>
      </c>
      <c r="E698" s="815"/>
      <c r="F698" s="816">
        <v>2200</v>
      </c>
      <c r="G698" s="816"/>
      <c r="H698" s="816">
        <f t="shared" si="6"/>
        <v>2200</v>
      </c>
      <c r="I698" s="172"/>
    </row>
    <row r="699" spans="1:9" ht="15.75" hidden="1">
      <c r="A699" s="650"/>
      <c r="B699" s="678">
        <v>15</v>
      </c>
      <c r="C699" s="817" t="s">
        <v>625</v>
      </c>
      <c r="D699" s="631"/>
      <c r="E699" s="815"/>
      <c r="F699" s="816"/>
      <c r="G699" s="816"/>
      <c r="H699" s="816">
        <f t="shared" si="6"/>
        <v>0</v>
      </c>
      <c r="I699" s="172"/>
    </row>
    <row r="700" spans="1:9" ht="15.75" hidden="1">
      <c r="A700" s="628"/>
      <c r="B700" s="634">
        <v>65</v>
      </c>
      <c r="C700" s="695" t="s">
        <v>892</v>
      </c>
      <c r="D700" s="631">
        <f>H700</f>
        <v>216738</v>
      </c>
      <c r="E700" s="815"/>
      <c r="F700" s="816">
        <v>216738</v>
      </c>
      <c r="G700" s="816"/>
      <c r="H700" s="816">
        <f t="shared" si="6"/>
        <v>216738</v>
      </c>
      <c r="I700" s="172"/>
    </row>
    <row r="701" spans="1:9" ht="15.75" hidden="1">
      <c r="A701" s="628"/>
      <c r="B701" s="634">
        <v>15</v>
      </c>
      <c r="C701" s="589" t="s">
        <v>833</v>
      </c>
      <c r="D701" s="631">
        <f>H701</f>
        <v>-513323</v>
      </c>
      <c r="E701" s="815">
        <v>543977</v>
      </c>
      <c r="F701" s="816"/>
      <c r="G701" s="816">
        <v>-1057300</v>
      </c>
      <c r="H701" s="816">
        <f t="shared" si="6"/>
        <v>-513323</v>
      </c>
      <c r="I701" s="172"/>
    </row>
    <row r="702" spans="1:9" ht="15.75" hidden="1">
      <c r="A702" s="650"/>
      <c r="B702" s="678"/>
      <c r="C702" s="589" t="s">
        <v>893</v>
      </c>
      <c r="D702" s="653"/>
      <c r="E702" s="815"/>
      <c r="F702" s="816"/>
      <c r="G702" s="816"/>
      <c r="H702" s="816">
        <f t="shared" si="6"/>
        <v>0</v>
      </c>
      <c r="I702" s="172"/>
    </row>
    <row r="703" spans="1:9" ht="15.75" hidden="1">
      <c r="A703" s="635"/>
      <c r="B703" s="612" t="s">
        <v>760</v>
      </c>
      <c r="C703" s="636" t="s">
        <v>884</v>
      </c>
      <c r="D703" s="631">
        <f>H703</f>
        <v>6500</v>
      </c>
      <c r="E703" s="815"/>
      <c r="F703" s="816">
        <v>6500</v>
      </c>
      <c r="G703" s="816"/>
      <c r="H703" s="816">
        <f t="shared" si="6"/>
        <v>6500</v>
      </c>
      <c r="I703" s="172"/>
    </row>
    <row r="704" spans="1:9" ht="16.5" hidden="1" thickBot="1">
      <c r="A704" s="637"/>
      <c r="B704" s="638"/>
      <c r="C704" s="639" t="s">
        <v>830</v>
      </c>
      <c r="D704" s="640">
        <f>SUM(D691:D703)</f>
        <v>4878113</v>
      </c>
      <c r="E704" s="822">
        <f>SUM(E691:E703)</f>
        <v>1329405</v>
      </c>
      <c r="F704" s="822">
        <f>SUM(F691:F703)</f>
        <v>347344</v>
      </c>
      <c r="G704" s="822">
        <f>SUM(G691:G703)</f>
        <v>1471364</v>
      </c>
      <c r="H704" s="816">
        <f t="shared" si="6"/>
        <v>3148113</v>
      </c>
      <c r="I704" s="172"/>
    </row>
    <row r="705" spans="1:9" ht="15.75" hidden="1">
      <c r="A705" s="641"/>
      <c r="B705" s="642"/>
      <c r="C705" s="643"/>
      <c r="D705" s="649"/>
      <c r="E705" s="815">
        <f>E704-E693</f>
        <v>782354</v>
      </c>
      <c r="F705" s="815">
        <f>F704-F693</f>
        <v>71920</v>
      </c>
      <c r="G705" s="815">
        <f>G704-G693</f>
        <v>568589</v>
      </c>
      <c r="H705" s="816"/>
      <c r="I705" s="591">
        <f>D704+D712</f>
        <v>4878113</v>
      </c>
    </row>
    <row r="706" spans="1:8" ht="15.75" hidden="1">
      <c r="A706" s="628" t="s">
        <v>614</v>
      </c>
      <c r="B706" s="629"/>
      <c r="C706" s="811" t="s">
        <v>894</v>
      </c>
      <c r="D706" s="649"/>
      <c r="E706" s="591"/>
      <c r="F706" s="172"/>
      <c r="G706" s="172"/>
      <c r="H706" s="172"/>
    </row>
    <row r="707" spans="1:8" ht="15.75" hidden="1">
      <c r="A707" s="628"/>
      <c r="B707" s="629"/>
      <c r="C707" s="589"/>
      <c r="D707" s="649"/>
      <c r="E707" s="591"/>
      <c r="F707" s="591"/>
      <c r="G707" s="172"/>
      <c r="H707" s="172"/>
    </row>
    <row r="708" spans="1:8" ht="15.75" hidden="1">
      <c r="A708" s="628"/>
      <c r="B708" s="634">
        <v>50</v>
      </c>
      <c r="C708" s="589" t="s">
        <v>828</v>
      </c>
      <c r="D708" s="631"/>
      <c r="E708" s="591"/>
      <c r="F708" s="172"/>
      <c r="G708" s="172"/>
      <c r="H708" s="172"/>
    </row>
    <row r="709" spans="1:8" ht="15.75" hidden="1">
      <c r="A709" s="650"/>
      <c r="B709" s="678">
        <v>55</v>
      </c>
      <c r="C709" s="652" t="s">
        <v>551</v>
      </c>
      <c r="D709" s="653"/>
      <c r="E709" s="591"/>
      <c r="F709" s="172"/>
      <c r="G709" s="172"/>
      <c r="H709" s="172"/>
    </row>
    <row r="710" spans="1:8" ht="15.75" hidden="1">
      <c r="A710" s="635"/>
      <c r="B710" s="634">
        <v>15</v>
      </c>
      <c r="C710" s="589" t="s">
        <v>833</v>
      </c>
      <c r="D710" s="613"/>
      <c r="E710" s="591"/>
      <c r="F710" s="172"/>
      <c r="G710" s="172"/>
      <c r="H710" s="172"/>
    </row>
    <row r="711" spans="1:8" ht="15.75" hidden="1">
      <c r="A711" s="635"/>
      <c r="B711" s="678"/>
      <c r="C711" s="589" t="s">
        <v>893</v>
      </c>
      <c r="D711" s="613"/>
      <c r="E711" s="591"/>
      <c r="F711" s="172"/>
      <c r="G711" s="172"/>
      <c r="H711" s="172"/>
    </row>
    <row r="712" spans="1:8" ht="16.5" hidden="1" thickBot="1">
      <c r="A712" s="665"/>
      <c r="B712" s="666"/>
      <c r="C712" s="772" t="s">
        <v>830</v>
      </c>
      <c r="D712" s="658">
        <f>SUM(D708:D710)</f>
        <v>0</v>
      </c>
      <c r="E712" s="823"/>
      <c r="F712" s="824"/>
      <c r="G712" s="824"/>
      <c r="H712" s="824"/>
    </row>
    <row r="713" spans="1:8" ht="15.75" hidden="1">
      <c r="A713" s="641"/>
      <c r="B713" s="642"/>
      <c r="C713" s="643"/>
      <c r="D713" s="812"/>
      <c r="E713" s="591"/>
      <c r="F713" s="172"/>
      <c r="G713" s="172"/>
      <c r="H713" s="172"/>
    </row>
    <row r="714" spans="1:8" ht="15.75" hidden="1">
      <c r="A714" s="628" t="s">
        <v>895</v>
      </c>
      <c r="B714" s="629" t="s">
        <v>896</v>
      </c>
      <c r="C714" s="811" t="s">
        <v>897</v>
      </c>
      <c r="D714" s="649"/>
      <c r="E714" s="591"/>
      <c r="F714" s="172"/>
      <c r="G714" s="172"/>
      <c r="H714" s="172"/>
    </row>
    <row r="715" spans="1:8" ht="15.75" hidden="1">
      <c r="A715" s="628"/>
      <c r="B715" s="629"/>
      <c r="C715" s="589"/>
      <c r="D715" s="649"/>
      <c r="E715" s="591"/>
      <c r="F715" s="172"/>
      <c r="G715" s="172"/>
      <c r="H715" s="172"/>
    </row>
    <row r="716" spans="1:8" ht="15.75" hidden="1">
      <c r="A716" s="628" t="s">
        <v>639</v>
      </c>
      <c r="B716" s="629"/>
      <c r="C716" s="811" t="s">
        <v>928</v>
      </c>
      <c r="D716" s="649"/>
      <c r="E716" s="591"/>
      <c r="F716" s="172"/>
      <c r="G716" s="172"/>
      <c r="H716" s="172"/>
    </row>
    <row r="717" spans="1:8" ht="15.75" hidden="1">
      <c r="A717" s="650"/>
      <c r="B717" s="678">
        <v>50</v>
      </c>
      <c r="C717" s="817" t="s">
        <v>828</v>
      </c>
      <c r="D717" s="631"/>
      <c r="E717" s="591"/>
      <c r="F717" s="172"/>
      <c r="G717" s="172"/>
      <c r="H717" s="172"/>
    </row>
    <row r="718" spans="1:8" ht="16.5" hidden="1" thickBot="1">
      <c r="A718" s="637"/>
      <c r="B718" s="638"/>
      <c r="C718" s="639" t="s">
        <v>830</v>
      </c>
      <c r="D718" s="640">
        <f>SUM(D717:D717)</f>
        <v>0</v>
      </c>
      <c r="E718" s="591"/>
      <c r="F718" s="172"/>
      <c r="G718" s="172"/>
      <c r="H718" s="172"/>
    </row>
    <row r="719" spans="1:8" ht="15.75" hidden="1">
      <c r="A719" s="641"/>
      <c r="B719" s="825"/>
      <c r="C719" s="826"/>
      <c r="D719" s="649"/>
      <c r="E719" s="591"/>
      <c r="F719" s="172"/>
      <c r="G719" s="172"/>
      <c r="H719" s="172"/>
    </row>
    <row r="720" spans="1:8" ht="16.5" hidden="1" thickBot="1">
      <c r="A720" s="637">
        <v>98003</v>
      </c>
      <c r="B720" s="638"/>
      <c r="C720" s="639" t="s">
        <v>900</v>
      </c>
      <c r="D720" s="640"/>
      <c r="E720" s="591">
        <v>4878113</v>
      </c>
      <c r="F720" s="172"/>
      <c r="G720" s="172"/>
      <c r="H720" s="591">
        <f>H704+D695</f>
        <v>4878113</v>
      </c>
    </row>
    <row r="721" spans="1:8" ht="15.75" hidden="1">
      <c r="A721" s="641"/>
      <c r="B721" s="642"/>
      <c r="C721" s="643"/>
      <c r="D721" s="812"/>
      <c r="E721" s="591">
        <f>D704-E720</f>
        <v>0</v>
      </c>
      <c r="F721" s="172"/>
      <c r="G721" s="172"/>
      <c r="H721" s="172"/>
    </row>
    <row r="722" spans="1:9" ht="15.75" hidden="1">
      <c r="A722" s="683">
        <v>10</v>
      </c>
      <c r="B722" s="684"/>
      <c r="C722" s="796" t="s">
        <v>645</v>
      </c>
      <c r="D722" s="686">
        <f>D727+D729+D731+D741+D743+D754</f>
        <v>3099282</v>
      </c>
      <c r="E722" s="932"/>
      <c r="F722" s="932"/>
      <c r="G722" s="591"/>
      <c r="H722" s="172"/>
      <c r="I722" s="172"/>
    </row>
    <row r="723" spans="1:9" ht="15.75" hidden="1">
      <c r="A723" s="827"/>
      <c r="B723" s="828"/>
      <c r="C723" s="707"/>
      <c r="D723" s="829"/>
      <c r="E723" s="591">
        <v>3099282</v>
      </c>
      <c r="F723" s="591">
        <f>D722-E723</f>
        <v>0</v>
      </c>
      <c r="G723" s="591"/>
      <c r="H723" s="172"/>
      <c r="I723" s="172"/>
    </row>
    <row r="724" spans="1:9" ht="15.75" hidden="1">
      <c r="A724" s="906">
        <v>101</v>
      </c>
      <c r="B724" s="907"/>
      <c r="C724" s="908" t="s">
        <v>901</v>
      </c>
      <c r="D724" s="909"/>
      <c r="E724" s="591"/>
      <c r="F724" s="591"/>
      <c r="G724" s="591"/>
      <c r="H724" s="172"/>
      <c r="I724" s="172"/>
    </row>
    <row r="725" spans="1:9" ht="15.75" hidden="1">
      <c r="A725" s="906"/>
      <c r="B725" s="907"/>
      <c r="C725" s="910" t="s">
        <v>929</v>
      </c>
      <c r="D725" s="911"/>
      <c r="E725" s="591"/>
      <c r="F725" s="172"/>
      <c r="G725" s="172"/>
      <c r="H725" s="172"/>
      <c r="I725" s="172"/>
    </row>
    <row r="726" spans="1:9" ht="15.75" hidden="1">
      <c r="A726" s="635"/>
      <c r="B726" s="655"/>
      <c r="C726" s="775"/>
      <c r="D726" s="669"/>
      <c r="E726" s="591"/>
      <c r="F726" s="172"/>
      <c r="G726" s="172"/>
      <c r="H726" s="172"/>
      <c r="I726" s="172"/>
    </row>
    <row r="727" spans="1:9" ht="16.5" hidden="1" thickBot="1">
      <c r="A727" s="637">
        <v>102</v>
      </c>
      <c r="B727" s="645"/>
      <c r="C727" s="912" t="s">
        <v>902</v>
      </c>
      <c r="D727" s="944">
        <v>90000</v>
      </c>
      <c r="E727" s="591">
        <f>D727+D729+D741+D743+D754+E732</f>
        <v>3099282</v>
      </c>
      <c r="F727" s="172"/>
      <c r="G727" s="172"/>
      <c r="H727" s="172"/>
      <c r="I727" s="172"/>
    </row>
    <row r="728" spans="1:9" ht="15.75" hidden="1">
      <c r="A728" s="635"/>
      <c r="B728" s="646"/>
      <c r="C728" s="647"/>
      <c r="D728" s="669"/>
      <c r="E728" s="591"/>
      <c r="F728" s="172"/>
      <c r="G728" s="172"/>
      <c r="H728" s="172"/>
      <c r="I728" s="172"/>
    </row>
    <row r="729" spans="1:9" ht="16.5" hidden="1" thickBot="1">
      <c r="A729" s="637">
        <v>104</v>
      </c>
      <c r="B729" s="645"/>
      <c r="C729" s="912" t="s">
        <v>903</v>
      </c>
      <c r="D729" s="944">
        <v>245282</v>
      </c>
      <c r="E729" s="591"/>
      <c r="F729" s="591"/>
      <c r="G729" s="172"/>
      <c r="H729" s="172"/>
      <c r="I729" s="172"/>
    </row>
    <row r="730" spans="1:9" ht="15.75" hidden="1">
      <c r="A730" s="650"/>
      <c r="B730" s="782"/>
      <c r="C730" s="875"/>
      <c r="D730" s="786"/>
      <c r="E730" s="591"/>
      <c r="F730" s="172"/>
      <c r="G730" s="172"/>
      <c r="H730" s="172"/>
      <c r="I730" s="172"/>
    </row>
    <row r="731" spans="1:9" ht="16.5" hidden="1" thickBot="1">
      <c r="A731" s="637">
        <v>107</v>
      </c>
      <c r="B731" s="617"/>
      <c r="C731" s="912" t="s">
        <v>904</v>
      </c>
      <c r="D731" s="913">
        <v>1963000</v>
      </c>
      <c r="E731" s="591">
        <v>183000</v>
      </c>
      <c r="F731" s="172"/>
      <c r="G731" s="172">
        <v>1780000</v>
      </c>
      <c r="H731" s="172"/>
      <c r="I731" s="591"/>
    </row>
    <row r="732" spans="1:9" ht="15.75" hidden="1">
      <c r="A732" s="769"/>
      <c r="B732" s="612"/>
      <c r="C732" s="775"/>
      <c r="D732" s="698" t="s">
        <v>927</v>
      </c>
      <c r="E732" s="591">
        <f>E731+F731+G731</f>
        <v>1963000</v>
      </c>
      <c r="F732" s="172"/>
      <c r="G732" s="591"/>
      <c r="H732" s="172"/>
      <c r="I732" s="172"/>
    </row>
    <row r="733" spans="1:9" ht="16.5" hidden="1" thickBot="1">
      <c r="A733" s="637">
        <v>107001</v>
      </c>
      <c r="B733" s="629"/>
      <c r="C733" s="630" t="s">
        <v>905</v>
      </c>
      <c r="D733" s="649"/>
      <c r="E733" s="591"/>
      <c r="F733" s="172"/>
      <c r="G733" s="172"/>
      <c r="H733" s="172"/>
      <c r="I733" s="172"/>
    </row>
    <row r="734" spans="1:9" ht="15.75" hidden="1">
      <c r="A734" s="628"/>
      <c r="B734" s="629"/>
      <c r="C734" s="589"/>
      <c r="D734" s="649"/>
      <c r="E734" s="591"/>
      <c r="F734" s="172"/>
      <c r="G734" s="172"/>
      <c r="H734" s="172"/>
      <c r="I734" s="172"/>
    </row>
    <row r="735" spans="1:9" ht="15.75" hidden="1">
      <c r="A735" s="628"/>
      <c r="B735" s="634">
        <v>50</v>
      </c>
      <c r="C735" s="589" t="s">
        <v>828</v>
      </c>
      <c r="D735" s="631"/>
      <c r="E735" s="591"/>
      <c r="F735" s="172"/>
      <c r="G735" s="172"/>
      <c r="H735" s="172"/>
      <c r="I735" s="172"/>
    </row>
    <row r="736" spans="1:9" ht="15.75" hidden="1">
      <c r="A736" s="628"/>
      <c r="B736" s="634">
        <v>55</v>
      </c>
      <c r="C736" s="589" t="s">
        <v>551</v>
      </c>
      <c r="D736" s="631">
        <v>195000</v>
      </c>
      <c r="E736" s="591"/>
      <c r="F736" s="172"/>
      <c r="G736" s="172"/>
      <c r="H736" s="172"/>
      <c r="I736" s="172"/>
    </row>
    <row r="737" spans="1:9" ht="15.75" hidden="1">
      <c r="A737" s="628"/>
      <c r="B737" s="646">
        <v>4</v>
      </c>
      <c r="C737" s="636" t="s">
        <v>870</v>
      </c>
      <c r="D737" s="631"/>
      <c r="E737" s="591"/>
      <c r="F737" s="172"/>
      <c r="G737" s="172"/>
      <c r="H737" s="172"/>
      <c r="I737" s="172"/>
    </row>
    <row r="738" spans="1:7" ht="15.75" hidden="1">
      <c r="A738" s="628"/>
      <c r="B738" s="612">
        <v>6</v>
      </c>
      <c r="C738" s="636" t="s">
        <v>829</v>
      </c>
      <c r="D738" s="631"/>
      <c r="E738" s="591"/>
      <c r="F738" s="172"/>
      <c r="G738" s="172"/>
    </row>
    <row r="739" spans="1:7" ht="15.75" hidden="1">
      <c r="A739" s="628"/>
      <c r="B739" s="634">
        <v>15</v>
      </c>
      <c r="C739" s="589" t="s">
        <v>833</v>
      </c>
      <c r="D739" s="631">
        <v>5000</v>
      </c>
      <c r="E739" s="591"/>
      <c r="F739" s="591">
        <f>D727+D729+D731+D741+D743+D754</f>
        <v>3099282</v>
      </c>
      <c r="G739" s="591">
        <f>D722</f>
        <v>3099282</v>
      </c>
    </row>
    <row r="740" spans="1:7" ht="15.75" hidden="1">
      <c r="A740" s="628"/>
      <c r="B740" s="629"/>
      <c r="C740" s="589" t="s">
        <v>893</v>
      </c>
      <c r="D740" s="649"/>
      <c r="E740" s="591"/>
      <c r="F740" s="172"/>
      <c r="G740" s="172"/>
    </row>
    <row r="741" spans="1:7" ht="16.5" hidden="1" thickBot="1">
      <c r="A741" s="637"/>
      <c r="B741" s="638"/>
      <c r="C741" s="914" t="s">
        <v>830</v>
      </c>
      <c r="D741" s="945">
        <f>SUM(D735:D739)</f>
        <v>200000</v>
      </c>
      <c r="E741" s="591"/>
      <c r="F741" s="172"/>
      <c r="G741" s="172"/>
    </row>
    <row r="742" spans="1:7" ht="15.75" hidden="1">
      <c r="A742" s="769"/>
      <c r="B742" s="612"/>
      <c r="C742" s="775"/>
      <c r="D742" s="698"/>
      <c r="E742" s="591"/>
      <c r="F742" s="172"/>
      <c r="G742" s="172"/>
    </row>
    <row r="743" spans="1:7" ht="16.5" hidden="1" thickBot="1">
      <c r="A743" s="916">
        <v>10701</v>
      </c>
      <c r="B743" s="917">
        <v>41</v>
      </c>
      <c r="C743" s="912" t="s">
        <v>908</v>
      </c>
      <c r="D743" s="944">
        <f>750000-150000</f>
        <v>600000</v>
      </c>
      <c r="E743" s="591"/>
      <c r="F743" s="172"/>
      <c r="G743" s="172"/>
    </row>
    <row r="744" spans="1:7" ht="15.75" hidden="1">
      <c r="A744" s="635"/>
      <c r="B744" s="612"/>
      <c r="C744" s="775"/>
      <c r="D744" s="698"/>
      <c r="E744" s="591"/>
      <c r="F744" s="172"/>
      <c r="G744" s="172"/>
    </row>
    <row r="745" spans="1:7" ht="16.5" hidden="1" thickBot="1">
      <c r="A745" s="916">
        <v>10702</v>
      </c>
      <c r="B745" s="917">
        <v>41</v>
      </c>
      <c r="C745" s="912" t="s">
        <v>909</v>
      </c>
      <c r="D745" s="913"/>
      <c r="E745" s="591">
        <v>1780000</v>
      </c>
      <c r="F745" s="172"/>
      <c r="G745" s="172"/>
    </row>
    <row r="746" spans="1:7" ht="15.75" hidden="1">
      <c r="A746" s="635"/>
      <c r="B746" s="612"/>
      <c r="C746" s="775"/>
      <c r="D746" s="698"/>
      <c r="E746" s="591"/>
      <c r="F746" s="172"/>
      <c r="G746" s="172"/>
    </row>
    <row r="747" spans="1:7" ht="15.75" hidden="1">
      <c r="A747" s="628">
        <v>10900</v>
      </c>
      <c r="B747" s="629"/>
      <c r="C747" s="811" t="s">
        <v>910</v>
      </c>
      <c r="D747" s="649"/>
      <c r="E747" s="591"/>
      <c r="F747" s="172"/>
      <c r="G747" s="172"/>
    </row>
    <row r="748" spans="1:7" ht="15.75" hidden="1">
      <c r="A748" s="628"/>
      <c r="B748" s="629"/>
      <c r="C748" s="589"/>
      <c r="D748" s="649"/>
      <c r="E748" s="591"/>
      <c r="F748" s="172"/>
      <c r="G748" s="172"/>
    </row>
    <row r="749" spans="1:7" ht="15.75" hidden="1">
      <c r="A749" s="628"/>
      <c r="B749" s="634">
        <v>50</v>
      </c>
      <c r="C749" s="589" t="s">
        <v>828</v>
      </c>
      <c r="D749" s="631"/>
      <c r="E749" s="591"/>
      <c r="F749" s="172"/>
      <c r="G749" s="172"/>
    </row>
    <row r="750" spans="1:7" ht="15.75" hidden="1">
      <c r="A750" s="650"/>
      <c r="B750" s="678">
        <v>55</v>
      </c>
      <c r="C750" s="946" t="s">
        <v>551</v>
      </c>
      <c r="D750" s="892">
        <v>-400</v>
      </c>
      <c r="E750" s="591"/>
      <c r="F750" s="172"/>
      <c r="G750" s="172"/>
    </row>
    <row r="751" spans="1:7" ht="15.75" hidden="1">
      <c r="A751" s="635"/>
      <c r="B751" s="634">
        <v>15</v>
      </c>
      <c r="C751" s="763" t="s">
        <v>833</v>
      </c>
      <c r="D751" s="892"/>
      <c r="E751" s="591"/>
      <c r="F751" s="172"/>
      <c r="G751" s="172"/>
    </row>
    <row r="752" spans="1:7" ht="15.75" hidden="1">
      <c r="A752" s="635"/>
      <c r="B752" s="678"/>
      <c r="C752" s="763" t="s">
        <v>893</v>
      </c>
      <c r="D752" s="892"/>
      <c r="E752" s="591"/>
      <c r="F752" s="172"/>
      <c r="G752" s="172"/>
    </row>
    <row r="753" spans="1:7" ht="15.75" hidden="1">
      <c r="A753" s="635"/>
      <c r="B753" s="612">
        <v>6</v>
      </c>
      <c r="C753" s="636" t="s">
        <v>829</v>
      </c>
      <c r="D753" s="947">
        <v>1400</v>
      </c>
      <c r="E753" s="591"/>
      <c r="F753" s="172"/>
      <c r="G753" s="172"/>
    </row>
    <row r="754" spans="1:7" ht="16.5" hidden="1" thickBot="1">
      <c r="A754" s="637"/>
      <c r="B754" s="638"/>
      <c r="C754" s="914" t="s">
        <v>830</v>
      </c>
      <c r="D754" s="948">
        <f>SUM(D749:D753)</f>
        <v>1000</v>
      </c>
      <c r="E754" s="932"/>
      <c r="F754" s="172"/>
      <c r="G754" s="172"/>
    </row>
    <row r="755" spans="1:7" ht="15.75" hidden="1">
      <c r="A755" s="851"/>
      <c r="B755" s="852"/>
      <c r="C755" s="853"/>
      <c r="D755" s="669"/>
      <c r="E755" s="591"/>
      <c r="F755" s="172"/>
      <c r="G755" s="172"/>
    </row>
    <row r="756" spans="1:7" ht="16.5" hidden="1" thickBot="1">
      <c r="A756" s="854" t="s">
        <v>760</v>
      </c>
      <c r="B756" s="855"/>
      <c r="C756" s="855" t="s">
        <v>932</v>
      </c>
      <c r="D756" s="856">
        <f>SUM(D758)</f>
        <v>-48874</v>
      </c>
      <c r="E756" s="591"/>
      <c r="F756" s="172"/>
      <c r="G756" s="172"/>
    </row>
    <row r="757" spans="1:7" ht="15.75" hidden="1">
      <c r="A757" s="857"/>
      <c r="B757" s="858"/>
      <c r="C757" s="859"/>
      <c r="D757" s="812"/>
      <c r="E757" s="591"/>
      <c r="F757" s="172"/>
      <c r="G757" s="172"/>
    </row>
    <row r="758" spans="1:7" ht="15.75" hidden="1">
      <c r="A758" s="860"/>
      <c r="B758" s="861" t="s">
        <v>773</v>
      </c>
      <c r="C758" s="862" t="s">
        <v>884</v>
      </c>
      <c r="D758" s="653">
        <v>-48874</v>
      </c>
      <c r="E758" s="591"/>
      <c r="F758" s="172"/>
      <c r="G758" s="591"/>
    </row>
    <row r="759" spans="1:7" ht="16.5" hidden="1" thickBot="1">
      <c r="A759" s="854"/>
      <c r="B759" s="863"/>
      <c r="C759" s="863" t="s">
        <v>911</v>
      </c>
      <c r="D759" s="864">
        <f>D756+D722+D674+D626+D585+D569+D513+D615</f>
        <v>15224908</v>
      </c>
      <c r="E759" s="591">
        <v>15224908</v>
      </c>
      <c r="F759" s="865">
        <f>D759-E759</f>
        <v>0</v>
      </c>
      <c r="G759" s="866"/>
    </row>
    <row r="760" spans="1:7" ht="15" hidden="1">
      <c r="A760" s="931"/>
      <c r="B760" s="931"/>
      <c r="C760" s="931"/>
      <c r="D760" s="931"/>
      <c r="E760" s="172"/>
      <c r="F760" s="172"/>
      <c r="G760" s="172"/>
    </row>
    <row r="761" spans="1:7" ht="15" hidden="1">
      <c r="A761" s="172"/>
      <c r="B761" s="172"/>
      <c r="C761" s="172"/>
      <c r="D761" s="591"/>
      <c r="E761" s="172"/>
      <c r="F761" s="172"/>
      <c r="G761" s="172"/>
    </row>
    <row r="762" spans="1:7" ht="15.75" hidden="1">
      <c r="A762" s="598" t="s">
        <v>820</v>
      </c>
      <c r="B762" s="599"/>
      <c r="C762" s="570"/>
      <c r="D762" s="565" t="s">
        <v>821</v>
      </c>
      <c r="E762" s="591"/>
      <c r="F762" s="172"/>
      <c r="G762" s="172"/>
    </row>
    <row r="763" spans="1:7" ht="15.75" hidden="1">
      <c r="A763" s="598"/>
      <c r="B763" s="599"/>
      <c r="C763" s="570"/>
      <c r="D763" s="567" t="s">
        <v>811</v>
      </c>
      <c r="E763" s="591"/>
      <c r="F763" s="172"/>
      <c r="G763" s="172"/>
    </row>
    <row r="764" spans="1:7" ht="15.75" hidden="1">
      <c r="A764" s="598"/>
      <c r="B764" s="599"/>
      <c r="C764" s="570"/>
      <c r="D764" s="567" t="s">
        <v>812</v>
      </c>
      <c r="E764" s="591"/>
      <c r="F764" s="172"/>
      <c r="G764" s="172"/>
    </row>
    <row r="765" spans="1:7" ht="15.75" hidden="1">
      <c r="A765" s="598"/>
      <c r="B765" s="599"/>
      <c r="C765" s="570"/>
      <c r="D765" s="568" t="s">
        <v>946</v>
      </c>
      <c r="E765" s="591"/>
      <c r="F765" s="172"/>
      <c r="G765" s="172"/>
    </row>
    <row r="766" spans="1:7" ht="15.75" hidden="1">
      <c r="A766" s="598"/>
      <c r="B766" s="599"/>
      <c r="C766" s="570"/>
      <c r="D766" s="567" t="s">
        <v>947</v>
      </c>
      <c r="E766" s="591"/>
      <c r="F766" s="172"/>
      <c r="G766" s="172"/>
    </row>
    <row r="767" spans="1:7" ht="15.75" hidden="1">
      <c r="A767" s="598"/>
      <c r="B767" s="599"/>
      <c r="C767" s="570"/>
      <c r="D767" s="569"/>
      <c r="E767" s="591"/>
      <c r="F767" s="172"/>
      <c r="G767" s="172"/>
    </row>
    <row r="768" spans="1:7" ht="15.75" hidden="1">
      <c r="A768" s="598"/>
      <c r="B768" s="600" t="s">
        <v>948</v>
      </c>
      <c r="C768" s="601"/>
      <c r="D768" s="172"/>
      <c r="E768" s="591"/>
      <c r="F768" s="172"/>
      <c r="G768" s="172"/>
    </row>
    <row r="769" spans="1:7" ht="15.75" hidden="1">
      <c r="A769" s="602" t="s">
        <v>4</v>
      </c>
      <c r="B769" s="603"/>
      <c r="C769" s="604"/>
      <c r="D769" s="605"/>
      <c r="E769" s="591"/>
      <c r="F769" s="172"/>
      <c r="G769" s="172"/>
    </row>
    <row r="770" spans="1:6" ht="16.5" hidden="1" thickBot="1">
      <c r="A770" s="606" t="s">
        <v>914</v>
      </c>
      <c r="B770" s="607"/>
      <c r="C770" s="580" t="s">
        <v>11</v>
      </c>
      <c r="D770" s="608" t="s">
        <v>818</v>
      </c>
      <c r="E770" s="591"/>
      <c r="F770" s="172"/>
    </row>
    <row r="771" spans="1:6" ht="15.75" hidden="1">
      <c r="A771" s="602" t="s">
        <v>349</v>
      </c>
      <c r="B771" s="609" t="s">
        <v>26</v>
      </c>
      <c r="C771" s="580"/>
      <c r="D771" s="610"/>
      <c r="E771" s="591"/>
      <c r="F771" s="172"/>
    </row>
    <row r="772" spans="1:6" ht="15.75" hidden="1">
      <c r="A772" s="611" t="s">
        <v>355</v>
      </c>
      <c r="B772" s="612" t="s">
        <v>356</v>
      </c>
      <c r="C772" s="580"/>
      <c r="D772" s="610"/>
      <c r="E772" s="591"/>
      <c r="F772" s="172"/>
    </row>
    <row r="773" spans="1:6" ht="15.75" hidden="1">
      <c r="A773" s="611" t="s">
        <v>357</v>
      </c>
      <c r="B773" s="612" t="s">
        <v>363</v>
      </c>
      <c r="C773" s="580"/>
      <c r="D773" s="613"/>
      <c r="E773" s="591"/>
      <c r="F773" s="172"/>
    </row>
    <row r="774" spans="1:6" ht="16.5" hidden="1" thickBot="1">
      <c r="A774" s="606"/>
      <c r="B774" s="614" t="s">
        <v>825</v>
      </c>
      <c r="C774" s="583"/>
      <c r="D774" s="615"/>
      <c r="E774" s="591"/>
      <c r="F774" s="172"/>
    </row>
    <row r="775" spans="1:6" ht="16.5" hidden="1" thickBot="1">
      <c r="A775" s="616">
        <v>1</v>
      </c>
      <c r="B775" s="617">
        <v>2</v>
      </c>
      <c r="C775" s="618">
        <v>3</v>
      </c>
      <c r="D775" s="868">
        <v>4</v>
      </c>
      <c r="E775" s="591"/>
      <c r="F775" s="172"/>
    </row>
    <row r="776" spans="1:6" ht="15.75" hidden="1">
      <c r="A776" s="620" t="s">
        <v>368</v>
      </c>
      <c r="B776" s="621"/>
      <c r="C776" s="621" t="s">
        <v>369</v>
      </c>
      <c r="D776" s="622">
        <f>D783+D793+D816+D818+D828+D825+D830+D808+D798</f>
        <v>0</v>
      </c>
      <c r="E776" s="623"/>
      <c r="F776" s="172"/>
    </row>
    <row r="777" spans="1:6" ht="15.75" hidden="1">
      <c r="A777" s="624"/>
      <c r="B777" s="625"/>
      <c r="C777" s="626"/>
      <c r="D777" s="627"/>
      <c r="E777" s="591"/>
      <c r="F777" s="172"/>
    </row>
    <row r="778" spans="1:6" ht="15.75" hidden="1">
      <c r="A778" s="628" t="s">
        <v>371</v>
      </c>
      <c r="B778" s="629"/>
      <c r="C778" s="630" t="s">
        <v>826</v>
      </c>
      <c r="D778" s="631"/>
      <c r="E778" s="591"/>
      <c r="F778" s="172"/>
    </row>
    <row r="779" spans="1:6" ht="15.75" hidden="1">
      <c r="A779" s="628"/>
      <c r="B779" s="625">
        <v>4</v>
      </c>
      <c r="C779" s="632" t="s">
        <v>915</v>
      </c>
      <c r="D779" s="627"/>
      <c r="E779" s="591"/>
      <c r="F779" s="172"/>
    </row>
    <row r="780" spans="1:6" ht="15.75" hidden="1">
      <c r="A780" s="633"/>
      <c r="B780" s="634">
        <v>50</v>
      </c>
      <c r="C780" s="589" t="s">
        <v>828</v>
      </c>
      <c r="D780" s="631"/>
      <c r="E780" s="591"/>
      <c r="F780" s="172"/>
    </row>
    <row r="781" spans="1:6" ht="15.75" hidden="1">
      <c r="A781" s="628"/>
      <c r="B781" s="634">
        <v>55</v>
      </c>
      <c r="C781" s="589" t="s">
        <v>551</v>
      </c>
      <c r="D781" s="631"/>
      <c r="E781" s="591"/>
      <c r="F781" s="172"/>
    </row>
    <row r="782" spans="1:6" ht="15.75" hidden="1">
      <c r="A782" s="635"/>
      <c r="B782" s="612">
        <v>6</v>
      </c>
      <c r="C782" s="636" t="s">
        <v>829</v>
      </c>
      <c r="D782" s="613"/>
      <c r="E782" s="591"/>
      <c r="F782" s="172"/>
    </row>
    <row r="783" spans="1:6" ht="16.5" hidden="1" thickBot="1">
      <c r="A783" s="637"/>
      <c r="B783" s="638"/>
      <c r="C783" s="639" t="s">
        <v>830</v>
      </c>
      <c r="D783" s="640">
        <f>SUM(D779:D782)</f>
        <v>0</v>
      </c>
      <c r="E783" s="591"/>
      <c r="F783" s="591"/>
    </row>
    <row r="784" spans="1:6" ht="15.75" hidden="1">
      <c r="A784" s="641"/>
      <c r="B784" s="642"/>
      <c r="C784" s="643"/>
      <c r="D784" s="644"/>
      <c r="E784" s="591"/>
      <c r="F784" s="172"/>
    </row>
    <row r="785" spans="1:6" ht="15.75" hidden="1">
      <c r="A785" s="628" t="s">
        <v>375</v>
      </c>
      <c r="B785" s="634"/>
      <c r="C785" s="630" t="s">
        <v>831</v>
      </c>
      <c r="D785" s="631"/>
      <c r="E785" s="591"/>
      <c r="F785" s="172"/>
    </row>
    <row r="786" spans="1:6" ht="15.75" hidden="1">
      <c r="A786" s="628"/>
      <c r="B786" s="634"/>
      <c r="C786" s="630"/>
      <c r="D786" s="627"/>
      <c r="E786" s="591"/>
      <c r="F786" s="172"/>
    </row>
    <row r="787" spans="1:6" ht="15.75" hidden="1">
      <c r="A787" s="628"/>
      <c r="B787" s="625">
        <v>4</v>
      </c>
      <c r="C787" s="632" t="s">
        <v>935</v>
      </c>
      <c r="D787" s="632"/>
      <c r="E787" s="591"/>
      <c r="F787" s="172"/>
    </row>
    <row r="788" spans="1:6" ht="15.75" hidden="1">
      <c r="A788" s="628"/>
      <c r="B788" s="634">
        <v>50</v>
      </c>
      <c r="C788" s="589" t="s">
        <v>828</v>
      </c>
      <c r="D788" s="631"/>
      <c r="E788" s="869"/>
      <c r="F788" s="172"/>
    </row>
    <row r="789" spans="1:6" ht="15.75" hidden="1">
      <c r="A789" s="628"/>
      <c r="B789" s="634">
        <v>55</v>
      </c>
      <c r="C789" s="589" t="s">
        <v>551</v>
      </c>
      <c r="D789" s="631"/>
      <c r="E789" s="591"/>
      <c r="F789" s="172"/>
    </row>
    <row r="790" spans="1:6" ht="15.75" hidden="1">
      <c r="A790" s="628"/>
      <c r="B790" s="634">
        <v>15</v>
      </c>
      <c r="C790" s="589" t="s">
        <v>833</v>
      </c>
      <c r="D790" s="631"/>
      <c r="E790" s="591"/>
      <c r="F790" s="172"/>
    </row>
    <row r="791" spans="1:6" ht="15.75" hidden="1">
      <c r="A791" s="650"/>
      <c r="B791" s="678"/>
      <c r="C791" s="652" t="s">
        <v>834</v>
      </c>
      <c r="D791" s="627"/>
      <c r="E791" s="591"/>
      <c r="F791" s="172"/>
    </row>
    <row r="792" spans="1:6" ht="15.75" hidden="1">
      <c r="A792" s="635"/>
      <c r="B792" s="612">
        <v>6</v>
      </c>
      <c r="C792" s="636" t="s">
        <v>829</v>
      </c>
      <c r="D792" s="613"/>
      <c r="E792" s="591"/>
      <c r="F792" s="172"/>
    </row>
    <row r="793" spans="1:6" ht="16.5" hidden="1" thickBot="1">
      <c r="A793" s="637"/>
      <c r="B793" s="645"/>
      <c r="C793" s="639" t="s">
        <v>830</v>
      </c>
      <c r="D793" s="640">
        <f>SUM(D787:D792)</f>
        <v>0</v>
      </c>
      <c r="E793" s="591"/>
      <c r="F793" s="591"/>
    </row>
    <row r="794" spans="1:6" ht="15.75" hidden="1">
      <c r="A794" s="635"/>
      <c r="B794" s="646"/>
      <c r="C794" s="647"/>
      <c r="D794" s="648"/>
      <c r="E794" s="591"/>
      <c r="F794" s="591"/>
    </row>
    <row r="795" spans="1:6" ht="15.75" hidden="1">
      <c r="A795" s="628" t="s">
        <v>380</v>
      </c>
      <c r="B795" s="629"/>
      <c r="C795" s="630" t="s">
        <v>936</v>
      </c>
      <c r="D795" s="649"/>
      <c r="E795" s="591"/>
      <c r="F795" s="591"/>
    </row>
    <row r="796" spans="1:6" ht="15.75" hidden="1">
      <c r="A796" s="650"/>
      <c r="B796" s="629"/>
      <c r="C796" s="870"/>
      <c r="D796" s="649"/>
      <c r="E796" s="591"/>
      <c r="F796" s="591"/>
    </row>
    <row r="797" spans="1:6" ht="15.75" hidden="1">
      <c r="A797" s="650"/>
      <c r="B797" s="634">
        <v>50</v>
      </c>
      <c r="C797" s="652" t="s">
        <v>828</v>
      </c>
      <c r="D797" s="631"/>
      <c r="E797" s="591"/>
      <c r="F797" s="591"/>
    </row>
    <row r="798" spans="1:6" ht="16.5" hidden="1" thickBot="1">
      <c r="A798" s="637"/>
      <c r="B798" s="645"/>
      <c r="C798" s="639" t="s">
        <v>830</v>
      </c>
      <c r="D798" s="640">
        <f>SUM(D797)</f>
        <v>0</v>
      </c>
      <c r="E798" s="591"/>
      <c r="F798" s="591"/>
    </row>
    <row r="799" spans="1:6" ht="15.75" hidden="1">
      <c r="A799" s="635"/>
      <c r="B799" s="646"/>
      <c r="C799" s="647"/>
      <c r="D799" s="648"/>
      <c r="E799" s="591"/>
      <c r="F799" s="591"/>
    </row>
    <row r="800" spans="1:6" ht="15.75" hidden="1">
      <c r="A800" s="628" t="s">
        <v>377</v>
      </c>
      <c r="B800" s="629"/>
      <c r="C800" s="630" t="s">
        <v>916</v>
      </c>
      <c r="D800" s="649"/>
      <c r="E800" s="591"/>
      <c r="F800" s="591"/>
    </row>
    <row r="801" spans="1:6" ht="15.75" hidden="1">
      <c r="A801" s="650"/>
      <c r="B801" s="629"/>
      <c r="C801" s="870"/>
      <c r="D801" s="649"/>
      <c r="E801" s="591"/>
      <c r="F801" s="591"/>
    </row>
    <row r="802" spans="1:6" ht="15.75" hidden="1">
      <c r="A802" s="650"/>
      <c r="B802" s="634">
        <v>50</v>
      </c>
      <c r="C802" s="652" t="s">
        <v>828</v>
      </c>
      <c r="D802" s="631"/>
      <c r="E802" s="591"/>
      <c r="F802" s="591"/>
    </row>
    <row r="803" spans="1:6" ht="16.5" hidden="1" thickBot="1">
      <c r="A803" s="637"/>
      <c r="B803" s="645"/>
      <c r="C803" s="639" t="s">
        <v>830</v>
      </c>
      <c r="D803" s="640">
        <f>SUM(D802)</f>
        <v>0</v>
      </c>
      <c r="E803" s="591"/>
      <c r="F803" s="591"/>
    </row>
    <row r="804" spans="1:6" ht="15.75" hidden="1">
      <c r="A804" s="635"/>
      <c r="B804" s="646"/>
      <c r="C804" s="647"/>
      <c r="D804" s="648"/>
      <c r="E804" s="591"/>
      <c r="F804" s="172"/>
    </row>
    <row r="805" spans="1:6" ht="15.75" hidden="1">
      <c r="A805" s="628" t="s">
        <v>377</v>
      </c>
      <c r="B805" s="629"/>
      <c r="C805" s="630" t="s">
        <v>916</v>
      </c>
      <c r="D805" s="649"/>
      <c r="E805" s="591"/>
      <c r="F805" s="172"/>
    </row>
    <row r="806" spans="1:6" ht="15.75" hidden="1">
      <c r="A806" s="650"/>
      <c r="B806" s="629"/>
      <c r="C806" s="870"/>
      <c r="D806" s="649"/>
      <c r="E806" s="591"/>
      <c r="F806" s="172"/>
    </row>
    <row r="807" spans="1:6" ht="15.75" hidden="1">
      <c r="A807" s="650"/>
      <c r="B807" s="634">
        <v>50</v>
      </c>
      <c r="C807" s="652" t="s">
        <v>828</v>
      </c>
      <c r="D807" s="631"/>
      <c r="E807" s="591"/>
      <c r="F807" s="172"/>
    </row>
    <row r="808" spans="1:6" ht="16.5" hidden="1" thickBot="1">
      <c r="A808" s="637"/>
      <c r="B808" s="645"/>
      <c r="C808" s="639" t="s">
        <v>830</v>
      </c>
      <c r="D808" s="640">
        <f>SUM(D807)</f>
        <v>0</v>
      </c>
      <c r="E808" s="591"/>
      <c r="F808" s="172"/>
    </row>
    <row r="809" spans="1:6" ht="15.75" hidden="1">
      <c r="A809" s="635"/>
      <c r="B809" s="646"/>
      <c r="C809" s="647"/>
      <c r="D809" s="648"/>
      <c r="E809" s="591"/>
      <c r="F809" s="172"/>
    </row>
    <row r="810" spans="1:6" ht="15.75" hidden="1">
      <c r="A810" s="628" t="s">
        <v>380</v>
      </c>
      <c r="B810" s="629"/>
      <c r="C810" s="630" t="s">
        <v>835</v>
      </c>
      <c r="D810" s="649"/>
      <c r="E810" s="591"/>
      <c r="F810" s="172"/>
    </row>
    <row r="811" spans="1:6" ht="15.75" hidden="1">
      <c r="A811" s="628"/>
      <c r="B811" s="629"/>
      <c r="C811" s="632"/>
      <c r="D811" s="649"/>
      <c r="E811" s="591"/>
      <c r="F811" s="172"/>
    </row>
    <row r="812" spans="1:6" ht="15.75" hidden="1">
      <c r="A812" s="628"/>
      <c r="B812" s="634">
        <v>50</v>
      </c>
      <c r="C812" s="589" t="s">
        <v>828</v>
      </c>
      <c r="D812" s="631"/>
      <c r="E812" s="591"/>
      <c r="F812" s="172"/>
    </row>
    <row r="813" spans="1:6" ht="15.75" hidden="1">
      <c r="A813" s="628"/>
      <c r="B813" s="634">
        <v>55</v>
      </c>
      <c r="C813" s="589" t="s">
        <v>551</v>
      </c>
      <c r="D813" s="631"/>
      <c r="E813" s="591"/>
      <c r="F813" s="172"/>
    </row>
    <row r="814" spans="1:6" ht="15.75" hidden="1">
      <c r="A814" s="628"/>
      <c r="B814" s="625">
        <v>15</v>
      </c>
      <c r="C814" s="589" t="s">
        <v>836</v>
      </c>
      <c r="D814" s="631"/>
      <c r="E814" s="591"/>
      <c r="F814" s="172"/>
    </row>
    <row r="815" spans="1:6" ht="15.75" hidden="1">
      <c r="A815" s="650"/>
      <c r="B815" s="651"/>
      <c r="C815" s="652" t="s">
        <v>837</v>
      </c>
      <c r="D815" s="653"/>
      <c r="E815" s="591"/>
      <c r="F815" s="172"/>
    </row>
    <row r="816" spans="1:6" ht="16.5" hidden="1" thickBot="1">
      <c r="A816" s="637"/>
      <c r="B816" s="638"/>
      <c r="C816" s="639" t="s">
        <v>830</v>
      </c>
      <c r="D816" s="654">
        <f>SUM(D812:D815)</f>
        <v>0</v>
      </c>
      <c r="E816" s="591"/>
      <c r="F816" s="172"/>
    </row>
    <row r="817" spans="1:6" ht="15.75" hidden="1">
      <c r="A817" s="635"/>
      <c r="B817" s="655"/>
      <c r="C817" s="647"/>
      <c r="D817" s="656"/>
      <c r="E817" s="591"/>
      <c r="F817" s="172"/>
    </row>
    <row r="818" spans="1:8" ht="16.5" hidden="1" thickBot="1">
      <c r="A818" s="637" t="s">
        <v>382</v>
      </c>
      <c r="B818" s="638"/>
      <c r="C818" s="657" t="s">
        <v>838</v>
      </c>
      <c r="D818" s="658">
        <f>SUM(D819:D823)</f>
        <v>0</v>
      </c>
      <c r="E818" s="591"/>
      <c r="F818" s="172"/>
      <c r="G818" s="172"/>
      <c r="H818" s="172"/>
    </row>
    <row r="819" spans="1:8" ht="15.75" hidden="1">
      <c r="A819" s="624"/>
      <c r="B819" s="625"/>
      <c r="C819" s="589" t="s">
        <v>839</v>
      </c>
      <c r="D819" s="660"/>
      <c r="E819" s="661"/>
      <c r="F819" s="573"/>
      <c r="G819" s="573"/>
      <c r="H819" s="573"/>
    </row>
    <row r="820" spans="1:8" ht="15.75" hidden="1">
      <c r="A820" s="624"/>
      <c r="B820" s="625"/>
      <c r="C820" s="589" t="s">
        <v>917</v>
      </c>
      <c r="D820" s="660"/>
      <c r="E820" s="661"/>
      <c r="F820" s="573"/>
      <c r="G820" s="573"/>
      <c r="H820" s="573"/>
    </row>
    <row r="821" spans="1:8" ht="15.75" hidden="1">
      <c r="A821" s="624"/>
      <c r="B821" s="625"/>
      <c r="C821" s="589" t="s">
        <v>918</v>
      </c>
      <c r="D821" s="660"/>
      <c r="E821" s="661"/>
      <c r="F821" s="573"/>
      <c r="G821" s="573"/>
      <c r="H821" s="573"/>
    </row>
    <row r="822" spans="1:8" ht="15.75" hidden="1">
      <c r="A822" s="624"/>
      <c r="B822" s="625"/>
      <c r="C822" s="632" t="s">
        <v>919</v>
      </c>
      <c r="D822" s="660"/>
      <c r="E822" s="661"/>
      <c r="F822" s="573"/>
      <c r="G822" s="573"/>
      <c r="H822" s="573"/>
    </row>
    <row r="823" spans="1:8" ht="15.75" hidden="1">
      <c r="A823" s="611"/>
      <c r="B823" s="612"/>
      <c r="C823" s="632" t="s">
        <v>937</v>
      </c>
      <c r="D823" s="696"/>
      <c r="E823" s="661"/>
      <c r="F823" s="573"/>
      <c r="G823" s="573"/>
      <c r="H823" s="573"/>
    </row>
    <row r="824" spans="1:8" ht="15.75" hidden="1">
      <c r="A824" s="635"/>
      <c r="B824" s="655"/>
      <c r="C824" s="871"/>
      <c r="D824" s="669"/>
      <c r="E824" s="591"/>
      <c r="F824" s="172"/>
      <c r="G824" s="172"/>
      <c r="H824" s="172"/>
    </row>
    <row r="825" spans="1:8" ht="16.5" hidden="1" thickBot="1">
      <c r="A825" s="662" t="s">
        <v>396</v>
      </c>
      <c r="B825" s="663"/>
      <c r="C825" s="664" t="s">
        <v>842</v>
      </c>
      <c r="D825" s="658"/>
      <c r="E825" s="591"/>
      <c r="F825" s="172"/>
      <c r="G825" s="172"/>
      <c r="H825" s="172"/>
    </row>
    <row r="826" spans="1:8" ht="16.5" hidden="1" thickBot="1">
      <c r="A826" s="637"/>
      <c r="B826" s="638"/>
      <c r="C826" s="657" t="s">
        <v>843</v>
      </c>
      <c r="D826" s="658"/>
      <c r="E826" s="591"/>
      <c r="F826" s="172"/>
      <c r="G826" s="172"/>
      <c r="H826" s="172"/>
    </row>
    <row r="827" spans="1:8" ht="16.5" hidden="1" thickBot="1">
      <c r="A827" s="637"/>
      <c r="B827" s="638"/>
      <c r="C827" s="657"/>
      <c r="D827" s="658"/>
      <c r="E827" s="591"/>
      <c r="F827" s="172"/>
      <c r="G827" s="172"/>
      <c r="H827" s="172"/>
    </row>
    <row r="828" spans="1:8" ht="16.5" hidden="1" thickBot="1">
      <c r="A828" s="665" t="s">
        <v>402</v>
      </c>
      <c r="B828" s="666"/>
      <c r="C828" s="667" t="s">
        <v>844</v>
      </c>
      <c r="D828" s="658"/>
      <c r="E828" s="591"/>
      <c r="F828" s="172"/>
      <c r="G828" s="172"/>
      <c r="H828" s="172"/>
    </row>
    <row r="829" spans="1:8" ht="16.5" hidden="1" thickBot="1">
      <c r="A829" s="637"/>
      <c r="B829" s="638"/>
      <c r="C829" s="657"/>
      <c r="D829" s="658"/>
      <c r="E829" s="591"/>
      <c r="F829" s="172"/>
      <c r="G829" s="172"/>
      <c r="H829" s="172"/>
    </row>
    <row r="830" spans="1:8" ht="16.5" hidden="1" thickBot="1">
      <c r="A830" s="637" t="s">
        <v>404</v>
      </c>
      <c r="B830" s="617"/>
      <c r="C830" s="657" t="s">
        <v>845</v>
      </c>
      <c r="D830" s="658"/>
      <c r="E830" s="591"/>
      <c r="F830" s="172"/>
      <c r="G830" s="172"/>
      <c r="H830" s="172"/>
    </row>
    <row r="831" spans="1:8" ht="15.75" hidden="1">
      <c r="A831" s="635"/>
      <c r="B831" s="655"/>
      <c r="C831" s="668"/>
      <c r="D831" s="669"/>
      <c r="E831" s="591"/>
      <c r="F831" s="172"/>
      <c r="G831" s="172"/>
      <c r="H831" s="172"/>
    </row>
    <row r="832" spans="1:8" ht="16.5" hidden="1" thickBot="1">
      <c r="A832" s="670" t="s">
        <v>422</v>
      </c>
      <c r="B832" s="671"/>
      <c r="C832" s="672" t="s">
        <v>423</v>
      </c>
      <c r="D832" s="673">
        <f>D840+D847</f>
        <v>0</v>
      </c>
      <c r="E832" s="623"/>
      <c r="F832" s="172"/>
      <c r="G832" s="172"/>
      <c r="H832" s="172"/>
    </row>
    <row r="833" spans="1:8" ht="15.75" hidden="1">
      <c r="A833" s="641"/>
      <c r="B833" s="642"/>
      <c r="C833" s="872"/>
      <c r="D833" s="812"/>
      <c r="E833" s="591"/>
      <c r="F833" s="172"/>
      <c r="G833" s="172"/>
      <c r="H833" s="172"/>
    </row>
    <row r="834" spans="1:7" ht="15.75" hidden="1">
      <c r="A834" s="628" t="s">
        <v>424</v>
      </c>
      <c r="B834" s="629"/>
      <c r="C834" s="630" t="s">
        <v>847</v>
      </c>
      <c r="D834" s="649"/>
      <c r="E834" s="591"/>
      <c r="F834" s="172"/>
      <c r="G834" s="172"/>
    </row>
    <row r="835" spans="1:7" ht="15.75" hidden="1">
      <c r="A835" s="628"/>
      <c r="B835" s="629"/>
      <c r="C835" s="630"/>
      <c r="D835" s="649"/>
      <c r="E835" s="591"/>
      <c r="F835" s="172"/>
      <c r="G835" s="172"/>
    </row>
    <row r="836" spans="1:7" ht="15.75" hidden="1">
      <c r="A836" s="628"/>
      <c r="B836" s="634">
        <v>50</v>
      </c>
      <c r="C836" s="589" t="s">
        <v>828</v>
      </c>
      <c r="D836" s="631"/>
      <c r="E836" s="591"/>
      <c r="F836" s="172"/>
      <c r="G836" s="172"/>
    </row>
    <row r="837" spans="1:7" ht="15.75" hidden="1">
      <c r="A837" s="628"/>
      <c r="B837" s="634">
        <v>55</v>
      </c>
      <c r="C837" s="589" t="s">
        <v>551</v>
      </c>
      <c r="D837" s="631"/>
      <c r="E837" s="591"/>
      <c r="F837" s="172"/>
      <c r="G837" s="172"/>
    </row>
    <row r="838" spans="1:7" ht="15.75" hidden="1">
      <c r="A838" s="628"/>
      <c r="B838" s="634"/>
      <c r="C838" s="589" t="s">
        <v>848</v>
      </c>
      <c r="D838" s="631"/>
      <c r="E838" s="591"/>
      <c r="F838" s="172"/>
      <c r="G838" s="172"/>
    </row>
    <row r="839" spans="1:7" ht="15.75" hidden="1">
      <c r="A839" s="650"/>
      <c r="B839" s="678"/>
      <c r="C839" s="652" t="s">
        <v>849</v>
      </c>
      <c r="D839" s="653"/>
      <c r="E839" s="591"/>
      <c r="F839" s="172"/>
      <c r="G839" s="172"/>
    </row>
    <row r="840" spans="1:7" ht="16.5" hidden="1" thickBot="1">
      <c r="A840" s="637"/>
      <c r="B840" s="638"/>
      <c r="C840" s="639" t="s">
        <v>830</v>
      </c>
      <c r="D840" s="640">
        <f>SUM(D836:D839)</f>
        <v>0</v>
      </c>
      <c r="E840" s="591"/>
      <c r="F840" s="172"/>
      <c r="G840" s="172"/>
    </row>
    <row r="841" spans="1:7" ht="15.75" hidden="1">
      <c r="A841" s="628"/>
      <c r="B841" s="629"/>
      <c r="C841" s="679"/>
      <c r="D841" s="649"/>
      <c r="E841" s="591"/>
      <c r="F841" s="172"/>
      <c r="G841" s="172"/>
    </row>
    <row r="842" spans="1:7" ht="15.75" hidden="1">
      <c r="A842" s="680" t="s">
        <v>433</v>
      </c>
      <c r="B842" s="629"/>
      <c r="C842" s="630" t="s">
        <v>920</v>
      </c>
      <c r="D842" s="649"/>
      <c r="E842" s="591"/>
      <c r="F842" s="172"/>
      <c r="G842" s="172"/>
    </row>
    <row r="843" spans="1:7" ht="15.75" hidden="1">
      <c r="A843" s="628"/>
      <c r="B843" s="629"/>
      <c r="C843" s="630"/>
      <c r="D843" s="649"/>
      <c r="E843" s="591"/>
      <c r="F843" s="172"/>
      <c r="G843" s="172"/>
    </row>
    <row r="844" spans="1:7" ht="15.75" hidden="1">
      <c r="A844" s="650"/>
      <c r="B844" s="634">
        <v>55</v>
      </c>
      <c r="C844" s="589" t="s">
        <v>551</v>
      </c>
      <c r="D844" s="631">
        <v>-60251</v>
      </c>
      <c r="E844" s="591"/>
      <c r="F844" s="172"/>
      <c r="G844" s="172"/>
    </row>
    <row r="845" spans="1:7" ht="15.75" hidden="1">
      <c r="A845" s="650"/>
      <c r="B845" s="678">
        <v>4</v>
      </c>
      <c r="C845" s="652" t="s">
        <v>870</v>
      </c>
      <c r="D845" s="631"/>
      <c r="E845" s="591"/>
      <c r="F845" s="172"/>
      <c r="G845" s="172"/>
    </row>
    <row r="846" spans="1:7" ht="15.75" hidden="1">
      <c r="A846" s="635"/>
      <c r="B846" s="624">
        <v>15</v>
      </c>
      <c r="C846" s="589" t="s">
        <v>856</v>
      </c>
      <c r="D846" s="613">
        <v>60251</v>
      </c>
      <c r="E846" s="591"/>
      <c r="F846" s="172"/>
      <c r="G846" s="172"/>
    </row>
    <row r="847" spans="1:7" ht="16.5" hidden="1" thickBot="1">
      <c r="A847" s="637"/>
      <c r="B847" s="638"/>
      <c r="C847" s="639" t="s">
        <v>830</v>
      </c>
      <c r="D847" s="640">
        <f>SUM(D844:D846)</f>
        <v>0</v>
      </c>
      <c r="E847" s="591"/>
      <c r="F847" s="172"/>
      <c r="G847" s="172"/>
    </row>
    <row r="848" spans="1:7" ht="15.75" hidden="1">
      <c r="A848" s="641"/>
      <c r="B848" s="642"/>
      <c r="C848" s="682"/>
      <c r="D848" s="649"/>
      <c r="E848" s="591"/>
      <c r="F848" s="172"/>
      <c r="G848" s="172"/>
    </row>
    <row r="849" spans="1:7" ht="15.75" hidden="1">
      <c r="A849" s="683"/>
      <c r="B849" s="684"/>
      <c r="C849" s="685" t="s">
        <v>921</v>
      </c>
      <c r="D849" s="686">
        <f>D851+D857+D869+D873+D884+D863+D865</f>
        <v>0</v>
      </c>
      <c r="E849" s="623"/>
      <c r="F849" s="591"/>
      <c r="G849" s="591"/>
    </row>
    <row r="850" spans="1:7" ht="15.75" hidden="1">
      <c r="A850" s="650"/>
      <c r="B850" s="651"/>
      <c r="C850" s="687"/>
      <c r="D850" s="786"/>
      <c r="E850" s="591"/>
      <c r="F850" s="591"/>
      <c r="G850" s="172"/>
    </row>
    <row r="851" spans="1:7" ht="16.5" hidden="1" thickBot="1">
      <c r="A851" s="637" t="s">
        <v>437</v>
      </c>
      <c r="B851" s="617">
        <v>55</v>
      </c>
      <c r="C851" s="949" t="s">
        <v>853</v>
      </c>
      <c r="D851" s="950">
        <f>SUM(D852:D853)</f>
        <v>0</v>
      </c>
      <c r="E851" s="591"/>
      <c r="F851" s="591"/>
      <c r="G851" s="591"/>
    </row>
    <row r="852" spans="1:7" ht="15.75" hidden="1">
      <c r="A852" s="635"/>
      <c r="B852" s="951">
        <v>55</v>
      </c>
      <c r="C852" s="702" t="s">
        <v>551</v>
      </c>
      <c r="D852" s="892">
        <f>-3610790-1493620</f>
        <v>-5104410</v>
      </c>
      <c r="E852" s="591"/>
      <c r="F852" s="591"/>
      <c r="G852" s="591"/>
    </row>
    <row r="853" spans="1:7" ht="15.75" hidden="1">
      <c r="A853" s="635"/>
      <c r="B853" s="624">
        <v>15</v>
      </c>
      <c r="C853" s="643" t="s">
        <v>856</v>
      </c>
      <c r="D853" s="613">
        <f>3500740+1603670</f>
        <v>5104410</v>
      </c>
      <c r="E853" s="591"/>
      <c r="F853" s="591"/>
      <c r="G853" s="591"/>
    </row>
    <row r="854" spans="1:7" ht="15.75" hidden="1">
      <c r="A854" s="628" t="s">
        <v>479</v>
      </c>
      <c r="B854" s="625"/>
      <c r="C854" s="694" t="s">
        <v>922</v>
      </c>
      <c r="D854" s="693"/>
      <c r="E854" s="591"/>
      <c r="F854" s="172"/>
      <c r="G854" s="172"/>
    </row>
    <row r="855" spans="1:7" ht="15.75" hidden="1">
      <c r="A855" s="628"/>
      <c r="B855" s="625">
        <v>50</v>
      </c>
      <c r="C855" s="695" t="s">
        <v>828</v>
      </c>
      <c r="D855" s="660"/>
      <c r="E855" s="591"/>
      <c r="F855" s="172"/>
      <c r="G855" s="172"/>
    </row>
    <row r="856" spans="1:7" ht="15.75" hidden="1">
      <c r="A856" s="635"/>
      <c r="B856" s="624">
        <v>55</v>
      </c>
      <c r="C856" s="589" t="s">
        <v>551</v>
      </c>
      <c r="D856" s="696"/>
      <c r="E856" s="591"/>
      <c r="F856" s="172"/>
      <c r="G856" s="172"/>
    </row>
    <row r="857" spans="1:7" ht="16.5" hidden="1" thickBot="1">
      <c r="A857" s="637"/>
      <c r="B857" s="617"/>
      <c r="C857" s="639" t="s">
        <v>830</v>
      </c>
      <c r="D857" s="658">
        <f>SUM(D855:D856)</f>
        <v>0</v>
      </c>
      <c r="E857" s="591"/>
      <c r="F857" s="172"/>
      <c r="G857" s="172"/>
    </row>
    <row r="858" spans="1:7" ht="15.75" hidden="1">
      <c r="A858" s="635"/>
      <c r="B858" s="612"/>
      <c r="C858" s="647"/>
      <c r="D858" s="698"/>
      <c r="E858" s="591"/>
      <c r="F858" s="172"/>
      <c r="G858" s="172"/>
    </row>
    <row r="859" spans="1:7" ht="15.75" hidden="1">
      <c r="A859" s="628" t="s">
        <v>479</v>
      </c>
      <c r="B859" s="625"/>
      <c r="C859" s="694" t="s">
        <v>855</v>
      </c>
      <c r="D859" s="693"/>
      <c r="E859" s="591"/>
      <c r="F859" s="172"/>
      <c r="G859" s="172"/>
    </row>
    <row r="860" spans="1:7" ht="15.75" hidden="1">
      <c r="A860" s="628"/>
      <c r="B860" s="625">
        <v>50</v>
      </c>
      <c r="C860" s="695" t="s">
        <v>828</v>
      </c>
      <c r="D860" s="660"/>
      <c r="E860" s="591"/>
      <c r="F860" s="172"/>
      <c r="G860" s="172"/>
    </row>
    <row r="861" spans="1:7" ht="15.75" hidden="1">
      <c r="A861" s="635"/>
      <c r="B861" s="624">
        <v>55</v>
      </c>
      <c r="C861" s="589" t="s">
        <v>551</v>
      </c>
      <c r="D861" s="696"/>
      <c r="E861" s="591"/>
      <c r="F861" s="172"/>
      <c r="G861" s="172"/>
    </row>
    <row r="862" spans="1:7" ht="15.75" hidden="1">
      <c r="A862" s="635"/>
      <c r="B862" s="612">
        <v>6</v>
      </c>
      <c r="C862" s="636" t="s">
        <v>829</v>
      </c>
      <c r="D862" s="696"/>
      <c r="E862" s="591"/>
      <c r="F862" s="172"/>
      <c r="G862" s="172"/>
    </row>
    <row r="863" spans="1:7" ht="16.5" hidden="1" thickBot="1">
      <c r="A863" s="637"/>
      <c r="B863" s="617"/>
      <c r="C863" s="639" t="s">
        <v>830</v>
      </c>
      <c r="D863" s="658">
        <f>SUM(D860:D862)</f>
        <v>0</v>
      </c>
      <c r="E863" s="591"/>
      <c r="F863" s="172"/>
      <c r="G863" s="172"/>
    </row>
    <row r="864" spans="1:7" ht="16.5" hidden="1" thickBot="1">
      <c r="A864" s="637"/>
      <c r="B864" s="617"/>
      <c r="C864" s="639"/>
      <c r="D864" s="658"/>
      <c r="E864" s="591"/>
      <c r="F864" s="172"/>
      <c r="G864" s="172"/>
    </row>
    <row r="865" spans="1:7" ht="16.5" hidden="1" thickBot="1">
      <c r="A865" s="665" t="s">
        <v>483</v>
      </c>
      <c r="B865" s="617"/>
      <c r="C865" s="874" t="s">
        <v>484</v>
      </c>
      <c r="D865" s="950">
        <f>SUM(D866:D867)</f>
        <v>0</v>
      </c>
      <c r="E865" s="591"/>
      <c r="F865" s="172"/>
      <c r="G865" s="172"/>
    </row>
    <row r="866" spans="1:8" ht="15.75" hidden="1">
      <c r="A866" s="952"/>
      <c r="B866" s="678">
        <v>55</v>
      </c>
      <c r="C866" s="946" t="s">
        <v>551</v>
      </c>
      <c r="D866" s="892">
        <v>-690580</v>
      </c>
      <c r="E866" s="591"/>
      <c r="F866" s="172"/>
      <c r="G866" s="172"/>
      <c r="H866" s="172"/>
    </row>
    <row r="867" spans="1:8" ht="15.75" hidden="1">
      <c r="A867" s="952"/>
      <c r="B867" s="624">
        <v>15</v>
      </c>
      <c r="C867" s="589" t="s">
        <v>856</v>
      </c>
      <c r="D867" s="613">
        <v>690580</v>
      </c>
      <c r="E867" s="591"/>
      <c r="F867" s="172"/>
      <c r="G867" s="172"/>
      <c r="H867" s="172"/>
    </row>
    <row r="868" spans="1:8" ht="15.75" hidden="1">
      <c r="A868" s="650"/>
      <c r="B868" s="651"/>
      <c r="C868" s="875"/>
      <c r="D868" s="708"/>
      <c r="E868" s="591"/>
      <c r="F868" s="172"/>
      <c r="G868" s="172"/>
      <c r="H868" s="172"/>
    </row>
    <row r="869" spans="1:8" ht="16.5" hidden="1" thickBot="1">
      <c r="A869" s="665" t="s">
        <v>498</v>
      </c>
      <c r="B869" s="617">
        <v>55</v>
      </c>
      <c r="C869" s="874" t="s">
        <v>499</v>
      </c>
      <c r="D869" s="950">
        <f>SUM(D870:D872)</f>
        <v>0</v>
      </c>
      <c r="E869" s="591"/>
      <c r="F869" s="172"/>
      <c r="G869" s="172"/>
      <c r="H869" s="172"/>
    </row>
    <row r="870" spans="1:8" ht="15.75" hidden="1">
      <c r="A870" s="952"/>
      <c r="B870" s="678">
        <v>55</v>
      </c>
      <c r="C870" s="946" t="s">
        <v>551</v>
      </c>
      <c r="D870" s="892">
        <f>-279370-2818600</f>
        <v>-3097970</v>
      </c>
      <c r="E870" s="591"/>
      <c r="F870" s="172"/>
      <c r="G870" s="172"/>
      <c r="H870" s="172"/>
    </row>
    <row r="871" spans="1:8" ht="15.75" hidden="1">
      <c r="A871" s="952"/>
      <c r="B871" s="624">
        <v>15</v>
      </c>
      <c r="C871" s="589" t="s">
        <v>856</v>
      </c>
      <c r="D871" s="613">
        <f>279370+2818600</f>
        <v>3097970</v>
      </c>
      <c r="E871" s="591"/>
      <c r="F871" s="172"/>
      <c r="G871" s="172"/>
      <c r="H871" s="172"/>
    </row>
    <row r="872" spans="1:8" ht="15.75" hidden="1">
      <c r="A872" s="635"/>
      <c r="B872" s="612"/>
      <c r="C872" s="647"/>
      <c r="D872" s="711"/>
      <c r="E872" s="591"/>
      <c r="F872" s="172"/>
      <c r="G872" s="172"/>
      <c r="H872" s="172"/>
    </row>
    <row r="873" spans="1:8" ht="16.5" hidden="1" thickBot="1">
      <c r="A873" s="665" t="s">
        <v>498</v>
      </c>
      <c r="B873" s="617">
        <v>55</v>
      </c>
      <c r="C873" s="874" t="s">
        <v>511</v>
      </c>
      <c r="D873" s="658">
        <f>SUM(D874:D875)</f>
        <v>0</v>
      </c>
      <c r="E873" s="719"/>
      <c r="F873" s="720"/>
      <c r="G873" s="725"/>
      <c r="H873" s="714"/>
    </row>
    <row r="874" spans="1:8" ht="15.75" hidden="1">
      <c r="A874" s="953"/>
      <c r="B874" s="678">
        <v>55</v>
      </c>
      <c r="C874" s="946" t="s">
        <v>551</v>
      </c>
      <c r="D874" s="954">
        <v>-1523620</v>
      </c>
      <c r="E874" s="719"/>
      <c r="F874" s="720"/>
      <c r="G874" s="725"/>
      <c r="H874" s="714"/>
    </row>
    <row r="875" spans="1:8" ht="15.75" hidden="1">
      <c r="A875" s="953"/>
      <c r="B875" s="624">
        <v>15</v>
      </c>
      <c r="C875" s="589" t="s">
        <v>856</v>
      </c>
      <c r="D875" s="954">
        <v>1523620</v>
      </c>
      <c r="E875" s="719"/>
      <c r="F875" s="720"/>
      <c r="G875" s="725"/>
      <c r="H875" s="714"/>
    </row>
    <row r="876" spans="1:8" ht="15.75" hidden="1">
      <c r="A876" s="715"/>
      <c r="B876" s="785"/>
      <c r="C876" s="876"/>
      <c r="D876" s="718"/>
      <c r="E876" s="719"/>
      <c r="F876" s="720"/>
      <c r="G876" s="725"/>
      <c r="H876" s="714"/>
    </row>
    <row r="877" spans="1:8" ht="15.75" hidden="1">
      <c r="A877" s="629" t="s">
        <v>514</v>
      </c>
      <c r="B877" s="877"/>
      <c r="C877" s="878" t="s">
        <v>938</v>
      </c>
      <c r="D877" s="761"/>
      <c r="E877" s="719"/>
      <c r="F877" s="879"/>
      <c r="G877" s="725"/>
      <c r="H877" s="714"/>
    </row>
    <row r="878" spans="1:8" ht="15.75" hidden="1">
      <c r="A878" s="629"/>
      <c r="B878" s="624"/>
      <c r="C878" s="632"/>
      <c r="D878" s="761"/>
      <c r="E878" s="719"/>
      <c r="F878" s="720"/>
      <c r="G878" s="725"/>
      <c r="H878" s="714"/>
    </row>
    <row r="879" spans="1:8" ht="15.75" hidden="1">
      <c r="A879" s="880"/>
      <c r="B879" s="624">
        <v>50</v>
      </c>
      <c r="C879" s="589" t="s">
        <v>828</v>
      </c>
      <c r="D879" s="764"/>
      <c r="E879" s="719"/>
      <c r="F879" s="720"/>
      <c r="G879" s="725"/>
      <c r="H879" s="714"/>
    </row>
    <row r="880" spans="1:8" ht="15.75" hidden="1">
      <c r="A880" s="629"/>
      <c r="B880" s="624">
        <v>55</v>
      </c>
      <c r="C880" s="589" t="s">
        <v>551</v>
      </c>
      <c r="D880" s="764"/>
      <c r="E880" s="719"/>
      <c r="F880" s="720"/>
      <c r="G880" s="725"/>
      <c r="H880" s="714"/>
    </row>
    <row r="881" spans="1:8" ht="15.75" hidden="1">
      <c r="A881" s="629"/>
      <c r="B881" s="624">
        <v>4</v>
      </c>
      <c r="C881" s="589" t="s">
        <v>870</v>
      </c>
      <c r="D881" s="764"/>
      <c r="E881" s="719"/>
      <c r="F881" s="720"/>
      <c r="G881" s="725"/>
      <c r="H881" s="714"/>
    </row>
    <row r="882" spans="1:8" ht="15.75" hidden="1">
      <c r="A882" s="629"/>
      <c r="B882" s="624">
        <v>6</v>
      </c>
      <c r="C882" s="589" t="s">
        <v>829</v>
      </c>
      <c r="D882" s="764"/>
      <c r="E882" s="719"/>
      <c r="F882" s="720"/>
      <c r="G882" s="725"/>
      <c r="H882" s="714"/>
    </row>
    <row r="883" spans="1:8" ht="15.75" hidden="1">
      <c r="A883" s="629"/>
      <c r="B883" s="624">
        <v>15</v>
      </c>
      <c r="C883" s="589" t="s">
        <v>856</v>
      </c>
      <c r="D883" s="764"/>
      <c r="E883" s="719"/>
      <c r="F883" s="720"/>
      <c r="G883" s="725"/>
      <c r="H883" s="714"/>
    </row>
    <row r="884" spans="1:8" ht="16.5" hidden="1" thickBot="1">
      <c r="A884" s="784"/>
      <c r="B884" s="606"/>
      <c r="C884" s="701" t="s">
        <v>830</v>
      </c>
      <c r="D884" s="701">
        <f>SUM(D879:D883)</f>
        <v>0</v>
      </c>
      <c r="E884" s="719"/>
      <c r="F884" s="720"/>
      <c r="G884" s="725"/>
      <c r="H884" s="714"/>
    </row>
    <row r="885" spans="1:8" ht="16.5" hidden="1" thickBot="1">
      <c r="A885" s="721"/>
      <c r="B885" s="881"/>
      <c r="C885" s="882"/>
      <c r="D885" s="724"/>
      <c r="E885" s="719"/>
      <c r="F885" s="720"/>
      <c r="G885" s="725"/>
      <c r="H885" s="714"/>
    </row>
    <row r="886" spans="1:8" ht="16.5" hidden="1" thickBot="1">
      <c r="A886" s="726" t="s">
        <v>521</v>
      </c>
      <c r="B886" s="727"/>
      <c r="C886" s="728" t="s">
        <v>525</v>
      </c>
      <c r="D886" s="729">
        <f>D888+D890+D896</f>
        <v>0</v>
      </c>
      <c r="E886" s="719"/>
      <c r="F886" s="720"/>
      <c r="G886" s="725"/>
      <c r="H886" s="714"/>
    </row>
    <row r="887" spans="1:8" ht="15.75" hidden="1">
      <c r="A887" s="731"/>
      <c r="B887" s="883"/>
      <c r="C887" s="884"/>
      <c r="D887" s="734"/>
      <c r="E887" s="719"/>
      <c r="F887" s="720"/>
      <c r="G887" s="725"/>
      <c r="H887" s="714"/>
    </row>
    <row r="888" spans="1:8" ht="15.75" hidden="1">
      <c r="A888" s="735"/>
      <c r="B888" s="740">
        <v>55</v>
      </c>
      <c r="C888" s="885" t="s">
        <v>527</v>
      </c>
      <c r="D888" s="702"/>
      <c r="E888" s="719"/>
      <c r="F888" s="720"/>
      <c r="G888" s="725"/>
      <c r="H888" s="714"/>
    </row>
    <row r="889" spans="1:8" ht="15.75" hidden="1">
      <c r="A889" s="735"/>
      <c r="B889" s="740">
        <v>55</v>
      </c>
      <c r="C889" s="885" t="s">
        <v>924</v>
      </c>
      <c r="D889" s="702"/>
      <c r="E889" s="719"/>
      <c r="F889" s="720"/>
      <c r="G889" s="725"/>
      <c r="H889" s="714"/>
    </row>
    <row r="890" spans="1:8" ht="15.75" hidden="1">
      <c r="A890" s="735"/>
      <c r="B890" s="740"/>
      <c r="C890" s="885" t="s">
        <v>860</v>
      </c>
      <c r="D890" s="702"/>
      <c r="E890" s="719"/>
      <c r="F890" s="720"/>
      <c r="G890" s="725"/>
      <c r="H890" s="714"/>
    </row>
    <row r="891" spans="1:8" ht="15.75" hidden="1">
      <c r="A891" s="735"/>
      <c r="B891" s="740"/>
      <c r="C891" s="886" t="s">
        <v>535</v>
      </c>
      <c r="D891" s="739"/>
      <c r="E891" s="719"/>
      <c r="F891" s="720"/>
      <c r="G891" s="725"/>
      <c r="H891" s="714"/>
    </row>
    <row r="892" spans="1:8" ht="15.75" hidden="1">
      <c r="A892" s="735"/>
      <c r="B892" s="740"/>
      <c r="C892" s="886" t="s">
        <v>925</v>
      </c>
      <c r="D892" s="739"/>
      <c r="E892" s="719"/>
      <c r="F892" s="720"/>
      <c r="G892" s="725"/>
      <c r="H892" s="714"/>
    </row>
    <row r="893" spans="1:8" ht="15.75" hidden="1">
      <c r="A893" s="735"/>
      <c r="B893" s="740"/>
      <c r="C893" s="886" t="s">
        <v>862</v>
      </c>
      <c r="D893" s="739"/>
      <c r="E893" s="719"/>
      <c r="F893" s="720"/>
      <c r="G893" s="725"/>
      <c r="H893" s="714"/>
    </row>
    <row r="894" spans="1:8" ht="15.75" hidden="1">
      <c r="A894" s="735"/>
      <c r="B894" s="740"/>
      <c r="C894" s="886" t="s">
        <v>863</v>
      </c>
      <c r="D894" s="739"/>
      <c r="E894" s="719"/>
      <c r="F894" s="720"/>
      <c r="G894" s="725"/>
      <c r="H894" s="714"/>
    </row>
    <row r="895" spans="1:8" ht="15.75" hidden="1">
      <c r="A895" s="735"/>
      <c r="B895" s="740"/>
      <c r="C895" s="886" t="s">
        <v>864</v>
      </c>
      <c r="D895" s="739"/>
      <c r="E895" s="719"/>
      <c r="F895" s="720"/>
      <c r="G895" s="725"/>
      <c r="H895" s="714"/>
    </row>
    <row r="896" spans="1:8" ht="15.75" hidden="1">
      <c r="A896" s="735"/>
      <c r="B896" s="740">
        <v>55</v>
      </c>
      <c r="C896" s="885" t="s">
        <v>926</v>
      </c>
      <c r="D896" s="702"/>
      <c r="E896" s="719"/>
      <c r="F896" s="720"/>
      <c r="G896" s="725"/>
      <c r="H896" s="714"/>
    </row>
    <row r="897" spans="1:8" ht="16.5" hidden="1" thickBot="1">
      <c r="A897" s="854" t="s">
        <v>540</v>
      </c>
      <c r="B897" s="887"/>
      <c r="C897" s="888" t="s">
        <v>867</v>
      </c>
      <c r="D897" s="864">
        <f>D912+D916+D927+D938+D943+D936+D914+D903</f>
        <v>0</v>
      </c>
      <c r="E897" s="623"/>
      <c r="F897" s="955"/>
      <c r="G897" s="172"/>
      <c r="H897" s="172"/>
    </row>
    <row r="898" spans="1:9" ht="15.75" hidden="1">
      <c r="A898" s="641"/>
      <c r="B898" s="691"/>
      <c r="C898" s="889"/>
      <c r="D898" s="795"/>
      <c r="E898" s="933" t="s">
        <v>939</v>
      </c>
      <c r="F898" s="171" t="s">
        <v>940</v>
      </c>
      <c r="G898" s="171" t="s">
        <v>941</v>
      </c>
      <c r="H898" s="934" t="s">
        <v>942</v>
      </c>
      <c r="I898" s="934" t="s">
        <v>943</v>
      </c>
    </row>
    <row r="899" spans="1:9" ht="15.75" hidden="1">
      <c r="A899" s="641" t="s">
        <v>548</v>
      </c>
      <c r="B899" s="691"/>
      <c r="C899" s="935" t="s">
        <v>945</v>
      </c>
      <c r="D899" s="780"/>
      <c r="E899" s="591"/>
      <c r="F899" s="172"/>
      <c r="G899" s="172"/>
      <c r="H899" s="172"/>
      <c r="I899" s="172"/>
    </row>
    <row r="900" spans="1:9" ht="15.75" hidden="1">
      <c r="A900" s="641"/>
      <c r="B900" s="779"/>
      <c r="C900" s="936"/>
      <c r="D900" s="780"/>
      <c r="E900" s="591"/>
      <c r="F900" s="172"/>
      <c r="G900" s="172"/>
      <c r="H900" s="172"/>
      <c r="I900" s="172"/>
    </row>
    <row r="901" spans="1:9" ht="15.75" hidden="1">
      <c r="A901" s="641"/>
      <c r="B901" s="740">
        <v>55</v>
      </c>
      <c r="C901" s="766" t="s">
        <v>551</v>
      </c>
      <c r="D901" s="778">
        <v>416176</v>
      </c>
      <c r="E901" s="591"/>
      <c r="F901" s="172">
        <v>377612</v>
      </c>
      <c r="G901" s="172">
        <v>606997</v>
      </c>
      <c r="H901" s="172">
        <v>117718</v>
      </c>
      <c r="I901" s="172">
        <v>138661</v>
      </c>
    </row>
    <row r="902" spans="1:9" ht="15.75" hidden="1">
      <c r="A902" s="635"/>
      <c r="B902" s="612">
        <v>15</v>
      </c>
      <c r="C902" s="767" t="s">
        <v>856</v>
      </c>
      <c r="D902" s="956">
        <v>-416176</v>
      </c>
      <c r="E902" s="591">
        <v>194700</v>
      </c>
      <c r="F902" s="172"/>
      <c r="G902" s="172">
        <v>739423</v>
      </c>
      <c r="H902" s="172">
        <v>138149</v>
      </c>
      <c r="I902" s="172">
        <v>263830</v>
      </c>
    </row>
    <row r="903" spans="1:9" ht="16.5" hidden="1" thickBot="1">
      <c r="A903" s="637"/>
      <c r="B903" s="617"/>
      <c r="C903" s="639" t="s">
        <v>830</v>
      </c>
      <c r="D903" s="639">
        <f>SUM(D898:D902)</f>
        <v>0</v>
      </c>
      <c r="E903" s="591">
        <f>SUM(E901:E902)</f>
        <v>194700</v>
      </c>
      <c r="F903" s="591">
        <f>SUM(F901:F902)</f>
        <v>377612</v>
      </c>
      <c r="G903" s="591">
        <f>SUM(G901:G902)</f>
        <v>1346420</v>
      </c>
      <c r="H903" s="591">
        <f>SUM(H901:H902)</f>
        <v>255867</v>
      </c>
      <c r="I903" s="591">
        <f>SUM(I901:I902)</f>
        <v>402491</v>
      </c>
    </row>
    <row r="904" spans="1:9" ht="15.75" hidden="1">
      <c r="A904" s="641"/>
      <c r="B904" s="691"/>
      <c r="C904" s="889"/>
      <c r="D904" s="780"/>
      <c r="E904" s="591"/>
      <c r="F904" s="172"/>
      <c r="G904" s="172"/>
      <c r="H904" s="172"/>
      <c r="I904" s="172"/>
    </row>
    <row r="905" spans="1:9" ht="15.75" hidden="1">
      <c r="A905" s="628" t="s">
        <v>558</v>
      </c>
      <c r="B905" s="625"/>
      <c r="C905" s="760" t="s">
        <v>869</v>
      </c>
      <c r="D905" s="761"/>
      <c r="E905" s="591"/>
      <c r="F905" s="172"/>
      <c r="G905" s="172"/>
      <c r="H905" s="172"/>
      <c r="I905" s="172"/>
    </row>
    <row r="906" spans="1:9" ht="15.75" hidden="1">
      <c r="A906" s="628"/>
      <c r="B906" s="625"/>
      <c r="C906" s="762"/>
      <c r="D906" s="761"/>
      <c r="E906" s="591"/>
      <c r="F906" s="172"/>
      <c r="G906" s="172"/>
      <c r="H906" s="172"/>
      <c r="I906" s="172"/>
    </row>
    <row r="907" spans="1:9" ht="15.75" hidden="1">
      <c r="A907" s="633"/>
      <c r="B907" s="625">
        <v>50</v>
      </c>
      <c r="C907" s="763" t="s">
        <v>828</v>
      </c>
      <c r="D907" s="764"/>
      <c r="E907" s="591"/>
      <c r="F907" s="172"/>
      <c r="G907" s="172"/>
      <c r="H907" s="172"/>
      <c r="I907" s="172"/>
    </row>
    <row r="908" spans="1:9" ht="15.75" hidden="1">
      <c r="A908" s="765"/>
      <c r="B908" s="740">
        <v>55</v>
      </c>
      <c r="C908" s="766" t="s">
        <v>551</v>
      </c>
      <c r="D908" s="764"/>
      <c r="E908" s="591"/>
      <c r="F908" s="172"/>
      <c r="G908" s="172"/>
      <c r="H908" s="172"/>
      <c r="I908" s="172"/>
    </row>
    <row r="909" spans="1:9" ht="15.75" hidden="1">
      <c r="A909" s="765"/>
      <c r="B909" s="740">
        <v>4</v>
      </c>
      <c r="C909" s="766" t="s">
        <v>870</v>
      </c>
      <c r="D909" s="764"/>
      <c r="E909" s="591"/>
      <c r="F909" s="172"/>
      <c r="G909" s="172"/>
      <c r="H909" s="172"/>
      <c r="I909" s="172"/>
    </row>
    <row r="910" spans="1:9" ht="15.75" hidden="1">
      <c r="A910" s="765"/>
      <c r="B910" s="740">
        <v>6</v>
      </c>
      <c r="C910" s="766" t="s">
        <v>829</v>
      </c>
      <c r="D910" s="764"/>
      <c r="E910" s="591"/>
      <c r="F910" s="591"/>
      <c r="G910" s="172"/>
      <c r="H910" s="172"/>
      <c r="I910" s="172"/>
    </row>
    <row r="911" spans="1:9" ht="16.5" hidden="1" thickBot="1">
      <c r="A911" s="635"/>
      <c r="B911" s="612">
        <v>15</v>
      </c>
      <c r="C911" s="767" t="s">
        <v>856</v>
      </c>
      <c r="D911" s="768"/>
      <c r="E911" s="591"/>
      <c r="F911" s="172"/>
      <c r="G911" s="172"/>
      <c r="H911" s="172"/>
      <c r="I911" s="172"/>
    </row>
    <row r="912" spans="1:9" ht="16.5" hidden="1" thickBot="1">
      <c r="A912" s="637"/>
      <c r="B912" s="617"/>
      <c r="C912" s="639" t="s">
        <v>830</v>
      </c>
      <c r="D912" s="640">
        <f>SUM(D907:D911)</f>
        <v>0</v>
      </c>
      <c r="E912" s="591"/>
      <c r="F912" s="172"/>
      <c r="G912" s="172"/>
      <c r="H912" s="172"/>
      <c r="I912" s="172"/>
    </row>
    <row r="913" spans="1:9" ht="15.75" hidden="1">
      <c r="A913" s="769"/>
      <c r="B913" s="612"/>
      <c r="C913" s="697"/>
      <c r="D913" s="770"/>
      <c r="E913" s="591"/>
      <c r="F913" s="172"/>
      <c r="G913" s="172"/>
      <c r="H913" s="172"/>
      <c r="I913" s="172"/>
    </row>
    <row r="914" spans="1:5" ht="16.5" hidden="1" thickBot="1">
      <c r="A914" s="637" t="s">
        <v>562</v>
      </c>
      <c r="B914" s="704"/>
      <c r="C914" s="639" t="s">
        <v>871</v>
      </c>
      <c r="D914" s="640"/>
      <c r="E914" s="591"/>
    </row>
    <row r="915" spans="1:5" ht="15.75" hidden="1">
      <c r="A915" s="635"/>
      <c r="B915" s="612"/>
      <c r="C915" s="647"/>
      <c r="D915" s="648"/>
      <c r="E915" s="591"/>
    </row>
    <row r="916" spans="1:5" ht="16.5" hidden="1" thickBot="1">
      <c r="A916" s="666" t="s">
        <v>566</v>
      </c>
      <c r="B916" s="771">
        <v>4</v>
      </c>
      <c r="C916" s="772" t="s">
        <v>872</v>
      </c>
      <c r="D916" s="772">
        <f>D919+D918</f>
        <v>0</v>
      </c>
      <c r="E916" s="591"/>
    </row>
    <row r="917" spans="1:5" ht="15.75" hidden="1">
      <c r="A917" s="776"/>
      <c r="B917" s="890"/>
      <c r="C917" s="790"/>
      <c r="D917" s="790"/>
      <c r="E917" s="591"/>
    </row>
    <row r="918" spans="1:5" ht="15.75" hidden="1">
      <c r="A918" s="629"/>
      <c r="B918" s="777">
        <v>55</v>
      </c>
      <c r="C918" s="589" t="s">
        <v>551</v>
      </c>
      <c r="D918" s="764"/>
      <c r="E918" s="591"/>
    </row>
    <row r="919" spans="1:5" ht="15.75" hidden="1">
      <c r="A919" s="629"/>
      <c r="B919" s="777">
        <v>4</v>
      </c>
      <c r="C919" s="589" t="s">
        <v>870</v>
      </c>
      <c r="D919" s="764"/>
      <c r="E919" s="591"/>
    </row>
    <row r="920" spans="1:5" ht="15.75" hidden="1">
      <c r="A920" s="642"/>
      <c r="B920" s="779"/>
      <c r="C920" s="643"/>
      <c r="D920" s="780"/>
      <c r="E920" s="591"/>
    </row>
    <row r="921" spans="1:5" ht="15.75" hidden="1">
      <c r="A921" s="629" t="s">
        <v>570</v>
      </c>
      <c r="B921" s="777"/>
      <c r="C921" s="630" t="s">
        <v>873</v>
      </c>
      <c r="D921" s="761"/>
      <c r="E921" s="591"/>
    </row>
    <row r="922" spans="1:5" ht="15.75" hidden="1">
      <c r="A922" s="629"/>
      <c r="B922" s="781"/>
      <c r="C922" s="632"/>
      <c r="D922" s="761"/>
      <c r="E922" s="591"/>
    </row>
    <row r="923" spans="1:5" ht="15.75" hidden="1">
      <c r="A923" s="765"/>
      <c r="B923" s="740">
        <v>50</v>
      </c>
      <c r="C923" s="702" t="s">
        <v>828</v>
      </c>
      <c r="D923" s="892"/>
      <c r="E923" s="591"/>
    </row>
    <row r="924" spans="1:5" ht="15.75" hidden="1">
      <c r="A924" s="765"/>
      <c r="B924" s="740">
        <v>55</v>
      </c>
      <c r="C924" s="702" t="s">
        <v>551</v>
      </c>
      <c r="D924" s="892"/>
      <c r="E924" s="591"/>
    </row>
    <row r="925" spans="1:5" ht="15.75" hidden="1">
      <c r="A925" s="765"/>
      <c r="B925" s="740">
        <v>6</v>
      </c>
      <c r="C925" s="702" t="s">
        <v>829</v>
      </c>
      <c r="D925" s="892"/>
      <c r="E925" s="591"/>
    </row>
    <row r="926" spans="1:5" ht="15.75" hidden="1">
      <c r="A926" s="939"/>
      <c r="B926" s="940">
        <v>15</v>
      </c>
      <c r="C926" s="754" t="s">
        <v>856</v>
      </c>
      <c r="D926" s="941"/>
      <c r="E926" s="591"/>
    </row>
    <row r="927" spans="1:5" ht="16.5" hidden="1" thickBot="1">
      <c r="A927" s="942"/>
      <c r="B927" s="943"/>
      <c r="C927" s="757" t="s">
        <v>830</v>
      </c>
      <c r="D927" s="758">
        <f>SUM(D923:D926)</f>
        <v>0</v>
      </c>
      <c r="E927" s="591"/>
    </row>
    <row r="928" spans="1:5" ht="15.75" hidden="1">
      <c r="A928" s="641"/>
      <c r="B928" s="642"/>
      <c r="C928" s="643"/>
      <c r="D928" s="812"/>
      <c r="E928" s="591"/>
    </row>
    <row r="929" spans="1:5" ht="15.75" hidden="1">
      <c r="A929" s="628" t="s">
        <v>572</v>
      </c>
      <c r="B929" s="629"/>
      <c r="C929" s="630" t="s">
        <v>874</v>
      </c>
      <c r="D929" s="649"/>
      <c r="E929" s="591"/>
    </row>
    <row r="930" spans="1:7" ht="15.75" hidden="1">
      <c r="A930" s="628"/>
      <c r="B930" s="629"/>
      <c r="C930" s="632"/>
      <c r="D930" s="649"/>
      <c r="E930" s="591"/>
      <c r="F930" s="172"/>
      <c r="G930" s="172"/>
    </row>
    <row r="931" spans="1:7" ht="15.75" hidden="1">
      <c r="A931" s="633"/>
      <c r="B931" s="625">
        <v>50</v>
      </c>
      <c r="C931" s="589" t="s">
        <v>828</v>
      </c>
      <c r="D931" s="631"/>
      <c r="E931" s="591"/>
      <c r="F931" s="172"/>
      <c r="G931" s="172"/>
    </row>
    <row r="932" spans="1:7" ht="15.75" hidden="1">
      <c r="A932" s="628"/>
      <c r="B932" s="651">
        <v>55</v>
      </c>
      <c r="C932" s="589" t="s">
        <v>551</v>
      </c>
      <c r="D932" s="631"/>
      <c r="E932" s="591"/>
      <c r="F932" s="172"/>
      <c r="G932" s="172"/>
    </row>
    <row r="933" spans="1:7" ht="15.75" hidden="1">
      <c r="A933" s="635"/>
      <c r="B933" s="612">
        <v>4</v>
      </c>
      <c r="C933" s="636" t="s">
        <v>870</v>
      </c>
      <c r="D933" s="613"/>
      <c r="E933" s="591"/>
      <c r="F933" s="172"/>
      <c r="G933" s="172"/>
    </row>
    <row r="934" spans="1:7" ht="15.75" hidden="1">
      <c r="A934" s="635"/>
      <c r="B934" s="740">
        <v>6</v>
      </c>
      <c r="C934" s="702" t="s">
        <v>829</v>
      </c>
      <c r="D934" s="613"/>
      <c r="E934" s="591"/>
      <c r="F934" s="172"/>
      <c r="G934" s="172"/>
    </row>
    <row r="935" spans="1:7" ht="15.75" hidden="1">
      <c r="A935" s="635"/>
      <c r="B935" s="612">
        <v>45</v>
      </c>
      <c r="C935" s="636" t="s">
        <v>875</v>
      </c>
      <c r="D935" s="613" t="s">
        <v>220</v>
      </c>
      <c r="E935" s="591"/>
      <c r="F935" s="172"/>
      <c r="G935" s="172"/>
    </row>
    <row r="936" spans="1:7" ht="16.5" hidden="1" thickBot="1">
      <c r="A936" s="637"/>
      <c r="B936" s="638"/>
      <c r="C936" s="639" t="s">
        <v>830</v>
      </c>
      <c r="D936" s="640">
        <f>SUM(D931:D935)</f>
        <v>0</v>
      </c>
      <c r="E936" s="591"/>
      <c r="F936" s="172"/>
      <c r="G936" s="172"/>
    </row>
    <row r="937" spans="1:7" ht="15.75" hidden="1">
      <c r="A937" s="641"/>
      <c r="B937" s="642"/>
      <c r="C937" s="643"/>
      <c r="D937" s="786"/>
      <c r="E937" s="591"/>
      <c r="F937" s="172"/>
      <c r="G937" s="172"/>
    </row>
    <row r="938" spans="1:7" ht="16.5" hidden="1" thickBot="1">
      <c r="A938" s="638" t="s">
        <v>588</v>
      </c>
      <c r="B938" s="787"/>
      <c r="C938" s="756" t="s">
        <v>876</v>
      </c>
      <c r="D938" s="772">
        <f>D940+D941</f>
        <v>0</v>
      </c>
      <c r="E938" s="591"/>
      <c r="F938" s="172"/>
      <c r="G938" s="172"/>
    </row>
    <row r="939" spans="1:7" ht="15.75" hidden="1">
      <c r="A939" s="642"/>
      <c r="B939" s="788"/>
      <c r="C939" s="789"/>
      <c r="D939" s="790"/>
      <c r="E939" s="591"/>
      <c r="F939" s="172"/>
      <c r="G939" s="172"/>
    </row>
    <row r="940" spans="1:7" ht="15.75" hidden="1">
      <c r="A940" s="629"/>
      <c r="B940" s="791">
        <v>55</v>
      </c>
      <c r="C940" s="766" t="s">
        <v>551</v>
      </c>
      <c r="D940" s="764"/>
      <c r="E940" s="591"/>
      <c r="F940" s="172"/>
      <c r="G940" s="172"/>
    </row>
    <row r="941" spans="1:7" ht="15.75" hidden="1">
      <c r="A941" s="629"/>
      <c r="B941" s="791">
        <v>4</v>
      </c>
      <c r="C941" s="766" t="s">
        <v>870</v>
      </c>
      <c r="D941" s="764"/>
      <c r="E941" s="591"/>
      <c r="F941" s="172"/>
      <c r="G941" s="172"/>
    </row>
    <row r="942" spans="1:7" ht="15.75" hidden="1">
      <c r="A942" s="635"/>
      <c r="B942" s="655"/>
      <c r="C942" s="647"/>
      <c r="D942" s="786"/>
      <c r="E942" s="591"/>
      <c r="F942" s="172"/>
      <c r="G942" s="172"/>
    </row>
    <row r="943" spans="1:7" ht="16.5" hidden="1" thickBot="1">
      <c r="A943" s="637" t="s">
        <v>590</v>
      </c>
      <c r="B943" s="617">
        <v>55</v>
      </c>
      <c r="C943" s="639" t="s">
        <v>877</v>
      </c>
      <c r="D943" s="658"/>
      <c r="E943" s="591"/>
      <c r="F943" s="172"/>
      <c r="G943" s="172"/>
    </row>
    <row r="944" spans="1:7" ht="15.75" hidden="1">
      <c r="A944" s="641"/>
      <c r="B944" s="642"/>
      <c r="C944" s="692"/>
      <c r="D944" s="812"/>
      <c r="E944" s="591"/>
      <c r="F944" s="172"/>
      <c r="G944" s="172"/>
    </row>
    <row r="945" spans="1:7" ht="15.75" hidden="1">
      <c r="A945" s="683" t="s">
        <v>927</v>
      </c>
      <c r="B945" s="684"/>
      <c r="C945" s="685" t="s">
        <v>601</v>
      </c>
      <c r="D945" s="686">
        <f>D975+D958+D991+D989+D983</f>
        <v>0</v>
      </c>
      <c r="E945" s="623"/>
      <c r="F945" s="172"/>
      <c r="G945" s="591"/>
    </row>
    <row r="946" spans="1:9" ht="15.75" hidden="1">
      <c r="A946" s="628"/>
      <c r="B946" s="629"/>
      <c r="C946" s="694"/>
      <c r="D946" s="649"/>
      <c r="E946" s="591"/>
      <c r="F946" s="172"/>
      <c r="G946" s="172"/>
      <c r="H946" s="172"/>
      <c r="I946" s="172"/>
    </row>
    <row r="947" spans="1:9" ht="15.75" hidden="1">
      <c r="A947" s="628" t="s">
        <v>602</v>
      </c>
      <c r="B947" s="629"/>
      <c r="C947" s="694" t="s">
        <v>878</v>
      </c>
      <c r="D947" s="649"/>
      <c r="E947" s="591"/>
      <c r="F947" s="172"/>
      <c r="G947" s="172"/>
      <c r="H947" s="172"/>
      <c r="I947" s="172"/>
    </row>
    <row r="948" spans="1:9" ht="15.75" hidden="1">
      <c r="A948" s="628"/>
      <c r="B948" s="629"/>
      <c r="C948" s="694"/>
      <c r="D948" s="649"/>
      <c r="E948" s="895" t="s">
        <v>879</v>
      </c>
      <c r="F948" s="896" t="s">
        <v>880</v>
      </c>
      <c r="G948" s="896" t="s">
        <v>881</v>
      </c>
      <c r="H948" s="897" t="s">
        <v>333</v>
      </c>
      <c r="I948" s="172"/>
    </row>
    <row r="949" spans="1:9" ht="15.75" hidden="1">
      <c r="A949" s="628"/>
      <c r="B949" s="634">
        <v>50</v>
      </c>
      <c r="C949" s="800" t="s">
        <v>828</v>
      </c>
      <c r="D949" s="631">
        <f>H949</f>
        <v>0</v>
      </c>
      <c r="E949" s="895"/>
      <c r="F949" s="898"/>
      <c r="G949" s="898"/>
      <c r="H949" s="816">
        <f>E949+F949+G949</f>
        <v>0</v>
      </c>
      <c r="I949" s="172"/>
    </row>
    <row r="950" spans="1:9" ht="15.75" hidden="1">
      <c r="A950" s="628"/>
      <c r="B950" s="634">
        <v>55</v>
      </c>
      <c r="C950" s="695" t="s">
        <v>551</v>
      </c>
      <c r="D950" s="631">
        <f>H950</f>
        <v>0</v>
      </c>
      <c r="E950" s="895"/>
      <c r="F950" s="898"/>
      <c r="G950" s="898"/>
      <c r="H950" s="816">
        <f aca="true" t="shared" si="7" ref="H950:H957">E950+F950+G950</f>
        <v>0</v>
      </c>
      <c r="I950" s="172"/>
    </row>
    <row r="951" spans="1:9" ht="15.75" hidden="1">
      <c r="A951" s="628"/>
      <c r="B951" s="634"/>
      <c r="C951" s="589" t="s">
        <v>611</v>
      </c>
      <c r="D951" s="631"/>
      <c r="E951" s="895"/>
      <c r="F951" s="898"/>
      <c r="G951" s="898"/>
      <c r="H951" s="816">
        <f t="shared" si="7"/>
        <v>0</v>
      </c>
      <c r="I951" s="172"/>
    </row>
    <row r="952" spans="1:9" ht="15.75" hidden="1">
      <c r="A952" s="628"/>
      <c r="B952" s="634">
        <v>55</v>
      </c>
      <c r="C952" s="695" t="s">
        <v>882</v>
      </c>
      <c r="D952" s="631"/>
      <c r="E952" s="895"/>
      <c r="F952" s="898"/>
      <c r="G952" s="898"/>
      <c r="H952" s="816">
        <f t="shared" si="7"/>
        <v>0</v>
      </c>
      <c r="I952" s="172"/>
    </row>
    <row r="953" spans="1:9" ht="15.75" hidden="1">
      <c r="A953" s="650"/>
      <c r="B953" s="678"/>
      <c r="C953" s="817" t="s">
        <v>883</v>
      </c>
      <c r="D953" s="631"/>
      <c r="E953" s="895"/>
      <c r="F953" s="898"/>
      <c r="G953" s="898"/>
      <c r="H953" s="816">
        <f t="shared" si="7"/>
        <v>0</v>
      </c>
      <c r="I953" s="172"/>
    </row>
    <row r="954" spans="1:9" ht="15.75" hidden="1">
      <c r="A954" s="650"/>
      <c r="B954" s="612">
        <v>6</v>
      </c>
      <c r="C954" s="636" t="s">
        <v>829</v>
      </c>
      <c r="D954" s="631">
        <f>H954</f>
        <v>0</v>
      </c>
      <c r="E954" s="895"/>
      <c r="F954" s="898"/>
      <c r="G954" s="898"/>
      <c r="H954" s="816">
        <f t="shared" si="7"/>
        <v>0</v>
      </c>
      <c r="I954" s="172"/>
    </row>
    <row r="955" spans="1:9" ht="15.75" hidden="1">
      <c r="A955" s="650"/>
      <c r="B955" s="625">
        <v>15</v>
      </c>
      <c r="C955" s="589" t="s">
        <v>836</v>
      </c>
      <c r="D955" s="631">
        <f>H955</f>
        <v>0</v>
      </c>
      <c r="E955" s="895"/>
      <c r="F955" s="898"/>
      <c r="G955" s="898"/>
      <c r="H955" s="816">
        <f t="shared" si="7"/>
        <v>0</v>
      </c>
      <c r="I955" s="172"/>
    </row>
    <row r="956" spans="1:9" ht="15.75" hidden="1">
      <c r="A956" s="635"/>
      <c r="B956" s="651"/>
      <c r="C956" s="652" t="s">
        <v>837</v>
      </c>
      <c r="D956" s="631"/>
      <c r="E956" s="895"/>
      <c r="F956" s="898"/>
      <c r="G956" s="898"/>
      <c r="H956" s="816">
        <f t="shared" si="7"/>
        <v>0</v>
      </c>
      <c r="I956" s="172"/>
    </row>
    <row r="957" spans="1:9" ht="15.75" hidden="1">
      <c r="A957" s="635"/>
      <c r="B957" s="612" t="s">
        <v>760</v>
      </c>
      <c r="C957" s="636" t="s">
        <v>884</v>
      </c>
      <c r="D957" s="631">
        <f>H957</f>
        <v>0</v>
      </c>
      <c r="E957" s="895"/>
      <c r="F957" s="898"/>
      <c r="G957" s="898"/>
      <c r="H957" s="816">
        <f t="shared" si="7"/>
        <v>0</v>
      </c>
      <c r="I957" s="172"/>
    </row>
    <row r="958" spans="1:9" ht="16.5" hidden="1" thickBot="1">
      <c r="A958" s="637"/>
      <c r="B958" s="638"/>
      <c r="C958" s="639" t="s">
        <v>830</v>
      </c>
      <c r="D958" s="640">
        <f>SUM(D949:D957)</f>
        <v>0</v>
      </c>
      <c r="E958" s="899">
        <f>SUM(E949:E955)</f>
        <v>0</v>
      </c>
      <c r="F958" s="900">
        <f>SUM(F949:F957)</f>
        <v>0</v>
      </c>
      <c r="G958" s="900">
        <f>SUM(G949:G955)</f>
        <v>0</v>
      </c>
      <c r="H958" s="822">
        <f>SUM(H949:H955)</f>
        <v>0</v>
      </c>
      <c r="I958" s="865"/>
    </row>
    <row r="959" spans="1:9" ht="15.75" hidden="1">
      <c r="A959" s="641"/>
      <c r="B959" s="642"/>
      <c r="C959" s="643"/>
      <c r="D959" s="649"/>
      <c r="E959" s="901"/>
      <c r="F959" s="902"/>
      <c r="G959" s="778"/>
      <c r="H959" s="591"/>
      <c r="I959" s="172"/>
    </row>
    <row r="960" spans="1:9" ht="15.75" hidden="1">
      <c r="A960" s="628" t="s">
        <v>614</v>
      </c>
      <c r="B960" s="629"/>
      <c r="C960" s="811" t="s">
        <v>885</v>
      </c>
      <c r="D960" s="649"/>
      <c r="E960" s="591"/>
      <c r="F960" s="172"/>
      <c r="G960" s="172"/>
      <c r="H960" s="172"/>
      <c r="I960" s="172"/>
    </row>
    <row r="961" spans="1:9" ht="15.75" hidden="1">
      <c r="A961" s="628"/>
      <c r="B961" s="634"/>
      <c r="C961" s="589"/>
      <c r="D961" s="649"/>
      <c r="E961" s="903" t="s">
        <v>886</v>
      </c>
      <c r="F961" s="904" t="s">
        <v>887</v>
      </c>
      <c r="G961" s="904" t="s">
        <v>888</v>
      </c>
      <c r="H961" s="904" t="s">
        <v>333</v>
      </c>
      <c r="I961" s="172"/>
    </row>
    <row r="962" spans="1:9" ht="15.75" hidden="1">
      <c r="A962" s="628"/>
      <c r="B962" s="634">
        <v>50</v>
      </c>
      <c r="C962" s="589" t="s">
        <v>828</v>
      </c>
      <c r="D962" s="631">
        <f>H962</f>
        <v>0</v>
      </c>
      <c r="E962" s="815"/>
      <c r="F962" s="816"/>
      <c r="G962" s="816"/>
      <c r="H962" s="816">
        <f>E962+F962+G962</f>
        <v>0</v>
      </c>
      <c r="I962" s="172"/>
    </row>
    <row r="963" spans="1:9" ht="15.75" hidden="1">
      <c r="A963" s="628"/>
      <c r="B963" s="634">
        <v>55</v>
      </c>
      <c r="C963" s="589" t="s">
        <v>551</v>
      </c>
      <c r="D963" s="631">
        <f>H963</f>
        <v>121158</v>
      </c>
      <c r="E963" s="815">
        <v>121158</v>
      </c>
      <c r="F963" s="816"/>
      <c r="G963" s="816"/>
      <c r="H963" s="816">
        <f aca="true" t="shared" si="8" ref="H963:H975">E963+F963+G963</f>
        <v>121158</v>
      </c>
      <c r="I963" s="172"/>
    </row>
    <row r="964" spans="1:9" ht="15.75" hidden="1">
      <c r="A964" s="628"/>
      <c r="B964" s="634">
        <v>41</v>
      </c>
      <c r="C964" s="589" t="s">
        <v>889</v>
      </c>
      <c r="D964" s="631">
        <f>H964</f>
        <v>0</v>
      </c>
      <c r="E964" s="815"/>
      <c r="F964" s="816"/>
      <c r="G964" s="816"/>
      <c r="H964" s="816">
        <f t="shared" si="8"/>
        <v>0</v>
      </c>
      <c r="I964" s="172"/>
    </row>
    <row r="965" spans="1:9" ht="15.75" hidden="1">
      <c r="A965" s="628"/>
      <c r="B965" s="634">
        <v>41</v>
      </c>
      <c r="C965" s="589" t="s">
        <v>890</v>
      </c>
      <c r="D965" s="631">
        <f>H965</f>
        <v>0</v>
      </c>
      <c r="E965" s="815"/>
      <c r="F965" s="816"/>
      <c r="G965" s="816"/>
      <c r="H965" s="816">
        <f t="shared" si="8"/>
        <v>0</v>
      </c>
      <c r="I965" s="172"/>
    </row>
    <row r="966" spans="1:9" ht="15.75" hidden="1">
      <c r="A966" s="628"/>
      <c r="B966" s="634">
        <v>55</v>
      </c>
      <c r="C966" s="695" t="s">
        <v>882</v>
      </c>
      <c r="D966" s="631"/>
      <c r="E966" s="815"/>
      <c r="F966" s="816"/>
      <c r="G966" s="816"/>
      <c r="H966" s="816">
        <f t="shared" si="8"/>
        <v>0</v>
      </c>
      <c r="I966" s="172"/>
    </row>
    <row r="967" spans="1:9" ht="15.75" hidden="1">
      <c r="A967" s="628"/>
      <c r="B967" s="634"/>
      <c r="C967" s="695" t="s">
        <v>883</v>
      </c>
      <c r="D967" s="631">
        <f>H967</f>
        <v>0</v>
      </c>
      <c r="E967" s="815"/>
      <c r="F967" s="816"/>
      <c r="G967" s="816"/>
      <c r="H967" s="816">
        <f t="shared" si="8"/>
        <v>0</v>
      </c>
      <c r="I967" s="172"/>
    </row>
    <row r="968" spans="1:9" ht="15.75" hidden="1">
      <c r="A968" s="628"/>
      <c r="B968" s="612">
        <v>4</v>
      </c>
      <c r="C968" s="636" t="s">
        <v>870</v>
      </c>
      <c r="D968" s="631">
        <f>H968</f>
        <v>0</v>
      </c>
      <c r="E968" s="815"/>
      <c r="F968" s="816"/>
      <c r="G968" s="816"/>
      <c r="H968" s="816">
        <f t="shared" si="8"/>
        <v>0</v>
      </c>
      <c r="I968" s="172"/>
    </row>
    <row r="969" spans="1:9" ht="15.75" hidden="1">
      <c r="A969" s="650"/>
      <c r="B969" s="612">
        <v>6</v>
      </c>
      <c r="C969" s="636" t="s">
        <v>829</v>
      </c>
      <c r="D969" s="631">
        <f>H969</f>
        <v>0</v>
      </c>
      <c r="E969" s="815"/>
      <c r="F969" s="816"/>
      <c r="G969" s="816"/>
      <c r="H969" s="816">
        <f t="shared" si="8"/>
        <v>0</v>
      </c>
      <c r="I969" s="172"/>
    </row>
    <row r="970" spans="1:9" ht="15.75" hidden="1">
      <c r="A970" s="650"/>
      <c r="B970" s="678">
        <v>15</v>
      </c>
      <c r="C970" s="817" t="s">
        <v>625</v>
      </c>
      <c r="D970" s="631"/>
      <c r="E970" s="815"/>
      <c r="F970" s="816"/>
      <c r="G970" s="816"/>
      <c r="H970" s="816">
        <f t="shared" si="8"/>
        <v>0</v>
      </c>
      <c r="I970" s="172"/>
    </row>
    <row r="971" spans="1:9" ht="15.75" hidden="1">
      <c r="A971" s="628"/>
      <c r="B971" s="634">
        <v>65</v>
      </c>
      <c r="C971" s="695" t="s">
        <v>892</v>
      </c>
      <c r="D971" s="631">
        <f>H971</f>
        <v>0</v>
      </c>
      <c r="E971" s="815"/>
      <c r="F971" s="816"/>
      <c r="G971" s="816"/>
      <c r="H971" s="816">
        <f t="shared" si="8"/>
        <v>0</v>
      </c>
      <c r="I971" s="172"/>
    </row>
    <row r="972" spans="1:9" ht="15.75" hidden="1">
      <c r="A972" s="628"/>
      <c r="B972" s="634">
        <v>15</v>
      </c>
      <c r="C972" s="589" t="s">
        <v>833</v>
      </c>
      <c r="D972" s="631">
        <f>H972</f>
        <v>-121158</v>
      </c>
      <c r="E972" s="815">
        <v>-121158</v>
      </c>
      <c r="F972" s="816"/>
      <c r="G972" s="816"/>
      <c r="H972" s="816">
        <f t="shared" si="8"/>
        <v>-121158</v>
      </c>
      <c r="I972" s="172"/>
    </row>
    <row r="973" spans="1:9" ht="15.75" hidden="1">
      <c r="A973" s="650"/>
      <c r="B973" s="678"/>
      <c r="C973" s="589" t="s">
        <v>893</v>
      </c>
      <c r="D973" s="653"/>
      <c r="E973" s="815"/>
      <c r="F973" s="816"/>
      <c r="G973" s="816"/>
      <c r="H973" s="816">
        <f t="shared" si="8"/>
        <v>0</v>
      </c>
      <c r="I973" s="172"/>
    </row>
    <row r="974" spans="1:9" ht="15.75" hidden="1">
      <c r="A974" s="635"/>
      <c r="B974" s="612" t="s">
        <v>760</v>
      </c>
      <c r="C974" s="636" t="s">
        <v>884</v>
      </c>
      <c r="D974" s="631">
        <f>H974</f>
        <v>0</v>
      </c>
      <c r="E974" s="815"/>
      <c r="F974" s="816"/>
      <c r="G974" s="816"/>
      <c r="H974" s="816">
        <f t="shared" si="8"/>
        <v>0</v>
      </c>
      <c r="I974" s="172"/>
    </row>
    <row r="975" spans="1:9" ht="16.5" hidden="1" thickBot="1">
      <c r="A975" s="637"/>
      <c r="B975" s="638"/>
      <c r="C975" s="639" t="s">
        <v>830</v>
      </c>
      <c r="D975" s="640">
        <f>SUM(D962:D974)</f>
        <v>0</v>
      </c>
      <c r="E975" s="822">
        <f>SUM(E962:E974)</f>
        <v>0</v>
      </c>
      <c r="F975" s="822">
        <f>SUM(F962:F974)</f>
        <v>0</v>
      </c>
      <c r="G975" s="822">
        <f>SUM(G962:G974)</f>
        <v>0</v>
      </c>
      <c r="H975" s="816">
        <f t="shared" si="8"/>
        <v>0</v>
      </c>
      <c r="I975" s="172"/>
    </row>
    <row r="976" spans="1:9" ht="15.75" hidden="1">
      <c r="A976" s="641"/>
      <c r="B976" s="642"/>
      <c r="C976" s="643"/>
      <c r="D976" s="649"/>
      <c r="E976" s="815">
        <f>E975-E964</f>
        <v>0</v>
      </c>
      <c r="F976" s="815">
        <f>F975-F964</f>
        <v>0</v>
      </c>
      <c r="G976" s="815">
        <f>G975-G964</f>
        <v>0</v>
      </c>
      <c r="H976" s="816"/>
      <c r="I976" s="591">
        <f>D975+D983</f>
        <v>0</v>
      </c>
    </row>
    <row r="977" spans="1:9" ht="15.75" hidden="1">
      <c r="A977" s="628" t="s">
        <v>614</v>
      </c>
      <c r="B977" s="629"/>
      <c r="C977" s="811" t="s">
        <v>894</v>
      </c>
      <c r="D977" s="649"/>
      <c r="E977" s="591"/>
      <c r="F977" s="172"/>
      <c r="G977" s="172"/>
      <c r="H977" s="172"/>
      <c r="I977" s="172"/>
    </row>
    <row r="978" spans="1:8" ht="15.75" hidden="1">
      <c r="A978" s="628"/>
      <c r="B978" s="629"/>
      <c r="C978" s="589"/>
      <c r="D978" s="649"/>
      <c r="E978" s="591"/>
      <c r="F978" s="591"/>
      <c r="G978" s="172"/>
      <c r="H978" s="172"/>
    </row>
    <row r="979" spans="1:8" ht="15.75" hidden="1">
      <c r="A979" s="628"/>
      <c r="B979" s="634">
        <v>50</v>
      </c>
      <c r="C979" s="589" t="s">
        <v>828</v>
      </c>
      <c r="D979" s="631"/>
      <c r="E979" s="591"/>
      <c r="F979" s="172"/>
      <c r="G979" s="172"/>
      <c r="H979" s="172"/>
    </row>
    <row r="980" spans="1:8" ht="15.75" hidden="1">
      <c r="A980" s="650"/>
      <c r="B980" s="678">
        <v>55</v>
      </c>
      <c r="C980" s="652" t="s">
        <v>551</v>
      </c>
      <c r="D980" s="653"/>
      <c r="E980" s="591"/>
      <c r="F980" s="172"/>
      <c r="G980" s="172"/>
      <c r="H980" s="172"/>
    </row>
    <row r="981" spans="1:8" ht="15.75" hidden="1">
      <c r="A981" s="635"/>
      <c r="B981" s="634">
        <v>15</v>
      </c>
      <c r="C981" s="589" t="s">
        <v>833</v>
      </c>
      <c r="D981" s="613"/>
      <c r="E981" s="591"/>
      <c r="F981" s="172"/>
      <c r="G981" s="172"/>
      <c r="H981" s="172"/>
    </row>
    <row r="982" spans="1:8" ht="15.75" hidden="1">
      <c r="A982" s="635"/>
      <c r="B982" s="678"/>
      <c r="C982" s="589" t="s">
        <v>893</v>
      </c>
      <c r="D982" s="613"/>
      <c r="E982" s="591"/>
      <c r="F982" s="172"/>
      <c r="G982" s="172"/>
      <c r="H982" s="172"/>
    </row>
    <row r="983" spans="1:8" ht="16.5" hidden="1" thickBot="1">
      <c r="A983" s="665"/>
      <c r="B983" s="666"/>
      <c r="C983" s="772" t="s">
        <v>830</v>
      </c>
      <c r="D983" s="658">
        <f>SUM(D979:D981)</f>
        <v>0</v>
      </c>
      <c r="E983" s="823"/>
      <c r="F983" s="824"/>
      <c r="G983" s="824"/>
      <c r="H983" s="824"/>
    </row>
    <row r="984" spans="1:8" ht="15.75" hidden="1">
      <c r="A984" s="641"/>
      <c r="B984" s="642"/>
      <c r="C984" s="643"/>
      <c r="D984" s="812"/>
      <c r="E984" s="591"/>
      <c r="F984" s="172"/>
      <c r="G984" s="172"/>
      <c r="H984" s="172"/>
    </row>
    <row r="985" spans="1:8" ht="15.75" hidden="1">
      <c r="A985" s="628" t="s">
        <v>895</v>
      </c>
      <c r="B985" s="629" t="s">
        <v>896</v>
      </c>
      <c r="C985" s="811" t="s">
        <v>897</v>
      </c>
      <c r="D985" s="649"/>
      <c r="E985" s="591"/>
      <c r="F985" s="172"/>
      <c r="G985" s="172"/>
      <c r="H985" s="172"/>
    </row>
    <row r="986" spans="1:8" ht="15.75" hidden="1">
      <c r="A986" s="628"/>
      <c r="B986" s="629"/>
      <c r="C986" s="589"/>
      <c r="D986" s="649"/>
      <c r="E986" s="591"/>
      <c r="F986" s="172"/>
      <c r="G986" s="172"/>
      <c r="H986" s="172"/>
    </row>
    <row r="987" spans="1:8" ht="15.75" hidden="1">
      <c r="A987" s="628" t="s">
        <v>639</v>
      </c>
      <c r="B987" s="629"/>
      <c r="C987" s="811" t="s">
        <v>928</v>
      </c>
      <c r="D987" s="649"/>
      <c r="E987" s="591"/>
      <c r="F987" s="172"/>
      <c r="G987" s="172"/>
      <c r="H987" s="172"/>
    </row>
    <row r="988" spans="1:8" ht="15.75" hidden="1">
      <c r="A988" s="650"/>
      <c r="B988" s="678">
        <v>50</v>
      </c>
      <c r="C988" s="817" t="s">
        <v>828</v>
      </c>
      <c r="D988" s="631"/>
      <c r="E988" s="591"/>
      <c r="F988" s="172"/>
      <c r="G988" s="172"/>
      <c r="H988" s="172"/>
    </row>
    <row r="989" spans="1:8" ht="16.5" hidden="1" thickBot="1">
      <c r="A989" s="637"/>
      <c r="B989" s="638"/>
      <c r="C989" s="639" t="s">
        <v>830</v>
      </c>
      <c r="D989" s="640">
        <f>SUM(D988:D988)</f>
        <v>0</v>
      </c>
      <c r="E989" s="591"/>
      <c r="F989" s="172"/>
      <c r="G989" s="172"/>
      <c r="H989" s="172"/>
    </row>
    <row r="990" spans="1:8" ht="15.75" hidden="1">
      <c r="A990" s="641"/>
      <c r="B990" s="825"/>
      <c r="C990" s="826"/>
      <c r="D990" s="649"/>
      <c r="E990" s="591"/>
      <c r="F990" s="172"/>
      <c r="G990" s="172"/>
      <c r="H990" s="172"/>
    </row>
    <row r="991" spans="1:8" ht="16.5" hidden="1" thickBot="1">
      <c r="A991" s="637">
        <v>98003</v>
      </c>
      <c r="B991" s="638"/>
      <c r="C991" s="639" t="s">
        <v>900</v>
      </c>
      <c r="D991" s="640"/>
      <c r="E991" s="591"/>
      <c r="F991" s="172"/>
      <c r="G991" s="172"/>
      <c r="H991" s="591"/>
    </row>
    <row r="992" spans="1:8" ht="15.75" hidden="1">
      <c r="A992" s="641"/>
      <c r="B992" s="642"/>
      <c r="C992" s="643"/>
      <c r="D992" s="812"/>
      <c r="E992" s="591"/>
      <c r="F992" s="172"/>
      <c r="G992" s="172"/>
      <c r="H992" s="172"/>
    </row>
    <row r="993" spans="1:8" ht="15.75" hidden="1">
      <c r="A993" s="683">
        <v>10</v>
      </c>
      <c r="B993" s="684"/>
      <c r="C993" s="796" t="s">
        <v>645</v>
      </c>
      <c r="D993" s="686">
        <f>D998+D1000+D1002+D1012+D1014+D1025</f>
        <v>0</v>
      </c>
      <c r="E993" s="623"/>
      <c r="F993" s="623"/>
      <c r="G993" s="591"/>
      <c r="H993" s="172"/>
    </row>
    <row r="994" spans="1:9" ht="15.75" hidden="1">
      <c r="A994" s="827"/>
      <c r="B994" s="828"/>
      <c r="C994" s="707"/>
      <c r="D994" s="829"/>
      <c r="E994" s="591"/>
      <c r="F994" s="591"/>
      <c r="G994" s="591"/>
      <c r="H994" s="172"/>
      <c r="I994" s="172"/>
    </row>
    <row r="995" spans="1:9" ht="15.75" hidden="1">
      <c r="A995" s="906">
        <v>101</v>
      </c>
      <c r="B995" s="907"/>
      <c r="C995" s="908" t="s">
        <v>901</v>
      </c>
      <c r="D995" s="909"/>
      <c r="E995" s="591"/>
      <c r="F995" s="591"/>
      <c r="G995" s="591"/>
      <c r="H995" s="172"/>
      <c r="I995" s="172"/>
    </row>
    <row r="996" spans="1:9" ht="15.75" hidden="1">
      <c r="A996" s="906"/>
      <c r="B996" s="907"/>
      <c r="C996" s="910" t="s">
        <v>929</v>
      </c>
      <c r="D996" s="911"/>
      <c r="E996" s="591"/>
      <c r="F996" s="172"/>
      <c r="G996" s="172"/>
      <c r="H996" s="172"/>
      <c r="I996" s="172"/>
    </row>
    <row r="997" spans="1:9" ht="15.75" hidden="1">
      <c r="A997" s="635"/>
      <c r="B997" s="655"/>
      <c r="C997" s="775"/>
      <c r="D997" s="669"/>
      <c r="E997" s="591"/>
      <c r="F997" s="172"/>
      <c r="G997" s="172"/>
      <c r="H997" s="172"/>
      <c r="I997" s="172"/>
    </row>
    <row r="998" spans="1:9" ht="16.5" hidden="1" thickBot="1">
      <c r="A998" s="637">
        <v>102</v>
      </c>
      <c r="B998" s="645"/>
      <c r="C998" s="912" t="s">
        <v>902</v>
      </c>
      <c r="D998" s="944"/>
      <c r="E998" s="591"/>
      <c r="F998" s="172"/>
      <c r="G998" s="172"/>
      <c r="H998" s="172"/>
      <c r="I998" s="172"/>
    </row>
    <row r="999" spans="1:9" ht="15.75" hidden="1">
      <c r="A999" s="635"/>
      <c r="B999" s="646"/>
      <c r="C999" s="647"/>
      <c r="D999" s="669"/>
      <c r="E999" s="591"/>
      <c r="F999" s="172"/>
      <c r="G999" s="172"/>
      <c r="H999" s="172"/>
      <c r="I999" s="172"/>
    </row>
    <row r="1000" spans="1:9" ht="16.5" hidden="1" thickBot="1">
      <c r="A1000" s="637">
        <v>104</v>
      </c>
      <c r="B1000" s="645"/>
      <c r="C1000" s="912" t="s">
        <v>903</v>
      </c>
      <c r="D1000" s="944"/>
      <c r="E1000" s="591"/>
      <c r="F1000" s="591"/>
      <c r="G1000" s="172"/>
      <c r="H1000" s="172"/>
      <c r="I1000" s="172"/>
    </row>
    <row r="1001" spans="1:9" ht="15.75" hidden="1">
      <c r="A1001" s="650"/>
      <c r="B1001" s="782"/>
      <c r="C1001" s="875"/>
      <c r="D1001" s="786"/>
      <c r="E1001" s="591"/>
      <c r="F1001" s="172"/>
      <c r="G1001" s="172"/>
      <c r="H1001" s="172"/>
      <c r="I1001" s="172"/>
    </row>
    <row r="1002" spans="1:9" ht="16.5" hidden="1" thickBot="1">
      <c r="A1002" s="637">
        <v>107</v>
      </c>
      <c r="B1002" s="617"/>
      <c r="C1002" s="912" t="s">
        <v>904</v>
      </c>
      <c r="D1002" s="913"/>
      <c r="E1002" s="591"/>
      <c r="F1002" s="172"/>
      <c r="G1002" s="172"/>
      <c r="H1002" s="172"/>
      <c r="I1002" s="591"/>
    </row>
    <row r="1003" spans="1:9" ht="15.75" hidden="1">
      <c r="A1003" s="769"/>
      <c r="B1003" s="612"/>
      <c r="C1003" s="775"/>
      <c r="D1003" s="698" t="s">
        <v>927</v>
      </c>
      <c r="E1003" s="591"/>
      <c r="F1003" s="172"/>
      <c r="G1003" s="591"/>
      <c r="H1003" s="172"/>
      <c r="I1003" s="172"/>
    </row>
    <row r="1004" spans="1:9" ht="16.5" hidden="1" thickBot="1">
      <c r="A1004" s="637">
        <v>107001</v>
      </c>
      <c r="B1004" s="629"/>
      <c r="C1004" s="630" t="s">
        <v>905</v>
      </c>
      <c r="D1004" s="649"/>
      <c r="E1004" s="591"/>
      <c r="F1004" s="172"/>
      <c r="G1004" s="172"/>
      <c r="H1004" s="172"/>
      <c r="I1004" s="172"/>
    </row>
    <row r="1005" spans="1:9" ht="15.75" hidden="1">
      <c r="A1005" s="628"/>
      <c r="B1005" s="629"/>
      <c r="C1005" s="589"/>
      <c r="D1005" s="649"/>
      <c r="E1005" s="591"/>
      <c r="F1005" s="172"/>
      <c r="G1005" s="172"/>
      <c r="H1005" s="172"/>
      <c r="I1005" s="172"/>
    </row>
    <row r="1006" spans="1:9" ht="15.75" hidden="1">
      <c r="A1006" s="628"/>
      <c r="B1006" s="634">
        <v>50</v>
      </c>
      <c r="C1006" s="589" t="s">
        <v>828</v>
      </c>
      <c r="D1006" s="631"/>
      <c r="E1006" s="591"/>
      <c r="F1006" s="172"/>
      <c r="G1006" s="172"/>
      <c r="H1006" s="172"/>
      <c r="I1006" s="172"/>
    </row>
    <row r="1007" spans="1:9" ht="15.75" hidden="1">
      <c r="A1007" s="628"/>
      <c r="B1007" s="634">
        <v>55</v>
      </c>
      <c r="C1007" s="589" t="s">
        <v>551</v>
      </c>
      <c r="D1007" s="631"/>
      <c r="E1007" s="591"/>
      <c r="F1007" s="172"/>
      <c r="G1007" s="172"/>
      <c r="H1007" s="172"/>
      <c r="I1007" s="172"/>
    </row>
    <row r="1008" spans="1:9" ht="15.75" hidden="1">
      <c r="A1008" s="628"/>
      <c r="B1008" s="646">
        <v>4</v>
      </c>
      <c r="C1008" s="636" t="s">
        <v>870</v>
      </c>
      <c r="D1008" s="631"/>
      <c r="E1008" s="591"/>
      <c r="F1008" s="172"/>
      <c r="G1008" s="172"/>
      <c r="H1008" s="172"/>
      <c r="I1008" s="172"/>
    </row>
    <row r="1009" spans="1:9" ht="15.75" hidden="1">
      <c r="A1009" s="628"/>
      <c r="B1009" s="612">
        <v>6</v>
      </c>
      <c r="C1009" s="636" t="s">
        <v>829</v>
      </c>
      <c r="D1009" s="631"/>
      <c r="E1009" s="591"/>
      <c r="F1009" s="172"/>
      <c r="G1009" s="172"/>
      <c r="H1009" s="172"/>
      <c r="I1009" s="172"/>
    </row>
    <row r="1010" spans="1:7" ht="15.75" hidden="1">
      <c r="A1010" s="628"/>
      <c r="B1010" s="634">
        <v>15</v>
      </c>
      <c r="C1010" s="589" t="s">
        <v>833</v>
      </c>
      <c r="D1010" s="631"/>
      <c r="E1010" s="591"/>
      <c r="F1010" s="591"/>
      <c r="G1010" s="591"/>
    </row>
    <row r="1011" spans="1:7" ht="15.75" hidden="1">
      <c r="A1011" s="628"/>
      <c r="B1011" s="629"/>
      <c r="C1011" s="589" t="s">
        <v>893</v>
      </c>
      <c r="D1011" s="649"/>
      <c r="E1011" s="591"/>
      <c r="F1011" s="172"/>
      <c r="G1011" s="172"/>
    </row>
    <row r="1012" spans="1:7" ht="16.5" hidden="1" thickBot="1">
      <c r="A1012" s="637"/>
      <c r="B1012" s="638"/>
      <c r="C1012" s="914" t="s">
        <v>830</v>
      </c>
      <c r="D1012" s="945">
        <f>SUM(D1006:D1010)</f>
        <v>0</v>
      </c>
      <c r="E1012" s="591"/>
      <c r="F1012" s="172"/>
      <c r="G1012" s="172"/>
    </row>
    <row r="1013" spans="1:7" ht="15.75" hidden="1">
      <c r="A1013" s="769"/>
      <c r="B1013" s="612"/>
      <c r="C1013" s="775"/>
      <c r="D1013" s="698"/>
      <c r="E1013" s="591"/>
      <c r="F1013" s="172"/>
      <c r="G1013" s="172"/>
    </row>
    <row r="1014" spans="1:7" ht="16.5" hidden="1" thickBot="1">
      <c r="A1014" s="916">
        <v>10701</v>
      </c>
      <c r="B1014" s="917">
        <v>41</v>
      </c>
      <c r="C1014" s="912" t="s">
        <v>908</v>
      </c>
      <c r="D1014" s="944"/>
      <c r="E1014" s="591"/>
      <c r="F1014" s="172"/>
      <c r="G1014" s="172"/>
    </row>
    <row r="1015" spans="1:7" ht="15.75" hidden="1">
      <c r="A1015" s="635"/>
      <c r="B1015" s="612"/>
      <c r="C1015" s="775"/>
      <c r="D1015" s="698"/>
      <c r="E1015" s="591"/>
      <c r="F1015" s="172"/>
      <c r="G1015" s="172"/>
    </row>
    <row r="1016" spans="1:7" ht="16.5" hidden="1" thickBot="1">
      <c r="A1016" s="916">
        <v>10702</v>
      </c>
      <c r="B1016" s="917">
        <v>41</v>
      </c>
      <c r="C1016" s="912" t="s">
        <v>909</v>
      </c>
      <c r="D1016" s="913"/>
      <c r="E1016" s="591"/>
      <c r="F1016" s="172"/>
      <c r="G1016" s="172"/>
    </row>
    <row r="1017" spans="1:7" ht="15.75" hidden="1">
      <c r="A1017" s="635"/>
      <c r="B1017" s="612"/>
      <c r="C1017" s="957"/>
      <c r="D1017" s="718"/>
      <c r="E1017" s="591"/>
      <c r="F1017" s="172"/>
      <c r="G1017" s="172"/>
    </row>
    <row r="1018" spans="1:7" ht="15.75" hidden="1">
      <c r="A1018" s="628">
        <v>10900</v>
      </c>
      <c r="B1018" s="629"/>
      <c r="C1018" s="958" t="s">
        <v>910</v>
      </c>
      <c r="D1018" s="761"/>
      <c r="E1018" s="591"/>
      <c r="F1018" s="172"/>
      <c r="G1018" s="172"/>
    </row>
    <row r="1019" spans="1:7" ht="15.75" hidden="1">
      <c r="A1019" s="628"/>
      <c r="B1019" s="629"/>
      <c r="C1019" s="763"/>
      <c r="D1019" s="761"/>
      <c r="E1019" s="591"/>
      <c r="F1019" s="172"/>
      <c r="G1019" s="172"/>
    </row>
    <row r="1020" spans="1:7" ht="15.75" hidden="1">
      <c r="A1020" s="628"/>
      <c r="B1020" s="634">
        <v>50</v>
      </c>
      <c r="C1020" s="763" t="s">
        <v>828</v>
      </c>
      <c r="D1020" s="764"/>
      <c r="E1020" s="591"/>
      <c r="F1020" s="172"/>
      <c r="G1020" s="172"/>
    </row>
    <row r="1021" spans="1:7" ht="15.75" hidden="1">
      <c r="A1021" s="650"/>
      <c r="B1021" s="678">
        <v>55</v>
      </c>
      <c r="C1021" s="946" t="s">
        <v>551</v>
      </c>
      <c r="D1021" s="764"/>
      <c r="E1021" s="591"/>
      <c r="F1021" s="172"/>
      <c r="G1021" s="172"/>
    </row>
    <row r="1022" spans="1:7" ht="15.75" hidden="1">
      <c r="A1022" s="635"/>
      <c r="B1022" s="634">
        <v>15</v>
      </c>
      <c r="C1022" s="763" t="s">
        <v>833</v>
      </c>
      <c r="D1022" s="764"/>
      <c r="E1022" s="591"/>
      <c r="F1022" s="172"/>
      <c r="G1022" s="172"/>
    </row>
    <row r="1023" spans="1:7" ht="15.75" hidden="1">
      <c r="A1023" s="635"/>
      <c r="B1023" s="678"/>
      <c r="C1023" s="763" t="s">
        <v>893</v>
      </c>
      <c r="D1023" s="764"/>
      <c r="E1023" s="591"/>
      <c r="F1023" s="172"/>
      <c r="G1023" s="172"/>
    </row>
    <row r="1024" spans="1:7" ht="16.5" hidden="1" thickBot="1">
      <c r="A1024" s="635"/>
      <c r="B1024" s="612">
        <v>6</v>
      </c>
      <c r="C1024" s="767" t="s">
        <v>829</v>
      </c>
      <c r="D1024" s="768"/>
      <c r="E1024" s="591"/>
      <c r="F1024" s="172"/>
      <c r="G1024" s="172"/>
    </row>
    <row r="1025" spans="1:7" ht="16.5" hidden="1" thickBot="1">
      <c r="A1025" s="637"/>
      <c r="B1025" s="638"/>
      <c r="C1025" s="914" t="s">
        <v>830</v>
      </c>
      <c r="D1025" s="948">
        <f>SUM(D1020:D1024)</f>
        <v>0</v>
      </c>
      <c r="E1025" s="623"/>
      <c r="F1025" s="172"/>
      <c r="G1025" s="172"/>
    </row>
    <row r="1026" spans="1:7" ht="15.75" hidden="1">
      <c r="A1026" s="851"/>
      <c r="B1026" s="852"/>
      <c r="C1026" s="853"/>
      <c r="D1026" s="669"/>
      <c r="E1026" s="591"/>
      <c r="F1026" s="172"/>
      <c r="G1026" s="172"/>
    </row>
    <row r="1027" spans="1:7" ht="16.5" hidden="1" thickBot="1">
      <c r="A1027" s="854" t="s">
        <v>760</v>
      </c>
      <c r="B1027" s="855"/>
      <c r="C1027" s="855" t="s">
        <v>932</v>
      </c>
      <c r="D1027" s="856">
        <f>SUM(D1029)</f>
        <v>0</v>
      </c>
      <c r="E1027" s="591"/>
      <c r="F1027" s="172"/>
      <c r="G1027" s="172"/>
    </row>
    <row r="1028" spans="1:7" ht="15.75" hidden="1">
      <c r="A1028" s="857"/>
      <c r="B1028" s="858"/>
      <c r="C1028" s="859"/>
      <c r="D1028" s="812"/>
      <c r="E1028" s="591"/>
      <c r="F1028" s="172"/>
      <c r="G1028" s="172"/>
    </row>
    <row r="1029" spans="1:7" ht="15.75" hidden="1">
      <c r="A1029" s="860"/>
      <c r="B1029" s="861" t="s">
        <v>773</v>
      </c>
      <c r="C1029" s="862" t="s">
        <v>884</v>
      </c>
      <c r="D1029" s="653"/>
      <c r="E1029" s="591"/>
      <c r="F1029" s="172"/>
      <c r="G1029" s="591"/>
    </row>
    <row r="1030" spans="1:7" ht="16.5" hidden="1" thickBot="1">
      <c r="A1030" s="854"/>
      <c r="B1030" s="863"/>
      <c r="C1030" s="863" t="s">
        <v>911</v>
      </c>
      <c r="D1030" s="864">
        <f>D1027+D993+D945+D897+D849+D832+D776+D886</f>
        <v>0</v>
      </c>
      <c r="E1030" s="591"/>
      <c r="F1030" s="865"/>
      <c r="G1030" s="866"/>
    </row>
    <row r="1031" spans="1:7" ht="15" hidden="1">
      <c r="A1031" s="931"/>
      <c r="B1031" s="931"/>
      <c r="C1031" s="931"/>
      <c r="D1031" s="931"/>
      <c r="E1031" s="172"/>
      <c r="F1031" s="172"/>
      <c r="G1031" s="172"/>
    </row>
    <row r="1032" spans="1:7" ht="15" hidden="1">
      <c r="A1032" s="172"/>
      <c r="B1032" s="172"/>
      <c r="C1032" s="172"/>
      <c r="D1032" s="591">
        <f>D972+D875+D871+D867+D853+D846</f>
        <v>10355673</v>
      </c>
      <c r="E1032" s="172"/>
      <c r="F1032" s="172"/>
      <c r="G1032" s="172"/>
    </row>
    <row r="1033" spans="1:7" ht="15" hidden="1">
      <c r="A1033" s="172"/>
      <c r="B1033" s="172"/>
      <c r="C1033" s="172"/>
      <c r="D1033" s="172"/>
      <c r="E1033" s="172"/>
      <c r="F1033" s="172"/>
      <c r="G1033" s="172"/>
    </row>
    <row r="1034" spans="1:7" ht="15">
      <c r="A1034" s="172"/>
      <c r="B1034" s="172"/>
      <c r="C1034" s="172"/>
      <c r="D1034" s="172"/>
      <c r="E1034" s="172"/>
      <c r="F1034" s="172"/>
      <c r="G1034" s="1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6"/>
  <sheetViews>
    <sheetView zoomScalePageLayoutView="0" workbookViewId="0" topLeftCell="A30">
      <selection activeCell="Y109" sqref="Y1:Z16384"/>
    </sheetView>
  </sheetViews>
  <sheetFormatPr defaultColWidth="10.57421875" defaultRowHeight="15"/>
  <cols>
    <col min="1" max="1" width="8.28125" style="546" customWidth="1"/>
    <col min="2" max="2" width="19.140625" style="10" customWidth="1"/>
    <col min="3" max="3" width="15.00390625" style="526" hidden="1" customWidth="1"/>
    <col min="4" max="4" width="11.57421875" style="10" hidden="1" customWidth="1"/>
    <col min="5" max="5" width="9.28125" style="10" hidden="1" customWidth="1"/>
    <col min="6" max="6" width="8.421875" style="10" hidden="1" customWidth="1"/>
    <col min="7" max="7" width="8.421875" style="9" customWidth="1"/>
    <col min="8" max="8" width="7.57421875" style="9" customWidth="1"/>
    <col min="9" max="9" width="7.8515625" style="9" customWidth="1"/>
    <col min="10" max="10" width="9.8515625" style="9" customWidth="1"/>
    <col min="11" max="11" width="8.00390625" style="9" customWidth="1"/>
    <col min="12" max="12" width="8.140625" style="9" customWidth="1"/>
    <col min="13" max="13" width="6.57421875" style="9" customWidth="1"/>
    <col min="14" max="14" width="8.421875" style="9" customWidth="1"/>
    <col min="15" max="15" width="8.8515625" style="9" customWidth="1"/>
    <col min="16" max="18" width="9.00390625" style="9" customWidth="1"/>
    <col min="19" max="19" width="9.57421875" style="9" customWidth="1"/>
    <col min="20" max="22" width="10.57421875" style="526" hidden="1" customWidth="1"/>
    <col min="23" max="23" width="11.7109375" style="526" hidden="1" customWidth="1"/>
    <col min="24" max="24" width="7.7109375" style="526" hidden="1" customWidth="1"/>
    <col min="25" max="25" width="13.421875" style="526" hidden="1" customWidth="1"/>
    <col min="26" max="26" width="8.57421875" style="526" hidden="1" customWidth="1"/>
    <col min="27" max="27" width="10.28125" style="526" customWidth="1"/>
    <col min="28" max="28" width="9.28125" style="526" customWidth="1"/>
    <col min="29" max="29" width="10.8515625" style="526" customWidth="1"/>
    <col min="30" max="30" width="9.421875" style="10" customWidth="1"/>
    <col min="31" max="31" width="8.140625" style="10" customWidth="1"/>
    <col min="32" max="32" width="29.00390625" style="10" customWidth="1"/>
    <col min="33" max="33" width="12.7109375" style="10" customWidth="1"/>
    <col min="34" max="34" width="11.57421875" style="10" customWidth="1"/>
    <col min="35" max="35" width="22.28125" style="10" customWidth="1"/>
    <col min="36" max="36" width="10.140625" style="10" customWidth="1"/>
    <col min="37" max="255" width="10.57421875" style="10" customWidth="1"/>
    <col min="256" max="16384" width="10.57421875" style="9" customWidth="1"/>
  </cols>
  <sheetData>
    <row r="1" spans="1:45" ht="15.75">
      <c r="A1" s="1"/>
      <c r="B1" s="2" t="s">
        <v>0</v>
      </c>
      <c r="C1" s="3"/>
      <c r="D1" s="4"/>
      <c r="E1" s="4"/>
      <c r="F1" s="4"/>
      <c r="G1" s="5"/>
      <c r="H1" s="5"/>
      <c r="I1" s="5"/>
      <c r="J1" s="6"/>
      <c r="K1" s="6"/>
      <c r="L1" s="6"/>
      <c r="M1" s="6"/>
      <c r="N1" s="7"/>
      <c r="O1" s="8"/>
      <c r="P1" s="8"/>
      <c r="Q1" s="8"/>
      <c r="R1" s="8"/>
      <c r="S1" s="8"/>
      <c r="T1" s="7"/>
      <c r="U1" s="7"/>
      <c r="V1" s="7"/>
      <c r="W1" s="7"/>
      <c r="X1" s="7"/>
      <c r="Y1" s="7"/>
      <c r="Z1" s="7"/>
      <c r="AA1" s="5"/>
      <c r="AB1" s="5"/>
      <c r="AC1" s="5"/>
      <c r="AD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1.25" hidden="1">
      <c r="A2" s="11"/>
      <c r="B2" s="9"/>
      <c r="C2" s="5"/>
      <c r="D2" s="9"/>
      <c r="E2" s="9"/>
      <c r="F2" s="9"/>
      <c r="G2" s="5"/>
      <c r="H2" s="5"/>
      <c r="I2" s="5"/>
      <c r="J2" s="12"/>
      <c r="K2" s="12"/>
      <c r="L2" s="12"/>
      <c r="M2" s="12"/>
      <c r="N2" s="5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"/>
      <c r="AB2" s="5"/>
      <c r="AC2" s="5"/>
      <c r="AD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2" thickBot="1">
      <c r="A3" s="13"/>
      <c r="B3" s="14" t="s">
        <v>1</v>
      </c>
      <c r="C3" s="15"/>
      <c r="D3" s="14"/>
      <c r="E3" s="14"/>
      <c r="F3" s="14"/>
      <c r="G3" s="5"/>
      <c r="H3" s="5"/>
      <c r="I3" s="16"/>
      <c r="J3" s="12"/>
      <c r="K3" s="12"/>
      <c r="L3" s="12"/>
      <c r="M3" s="12"/>
      <c r="O3" s="6"/>
      <c r="P3" s="7"/>
      <c r="Q3" s="7"/>
      <c r="R3" s="9" t="s">
        <v>2</v>
      </c>
      <c r="S3" s="7"/>
      <c r="T3" s="7"/>
      <c r="U3" s="7"/>
      <c r="V3" s="7"/>
      <c r="W3" s="7"/>
      <c r="X3" s="7"/>
      <c r="Y3" s="7"/>
      <c r="Z3" s="7"/>
      <c r="AA3" s="5"/>
      <c r="AB3" s="5"/>
      <c r="AC3" s="5"/>
      <c r="AD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2" hidden="1" thickBot="1">
      <c r="A4" s="17"/>
      <c r="B4" s="18" t="s">
        <v>3</v>
      </c>
      <c r="C4" s="19"/>
      <c r="D4" s="20"/>
      <c r="E4" s="20"/>
      <c r="F4" s="20"/>
      <c r="G4" s="21"/>
      <c r="H4" s="21"/>
      <c r="I4" s="22"/>
      <c r="J4" s="23">
        <f>J13+J27+J148</f>
        <v>38983.19884726225</v>
      </c>
      <c r="K4" s="23">
        <f>J4+K12</f>
        <v>2928702.198847262</v>
      </c>
      <c r="L4" s="23"/>
      <c r="M4" s="23"/>
      <c r="N4" s="22"/>
      <c r="O4" s="24"/>
      <c r="P4" s="25"/>
      <c r="Q4" s="25"/>
      <c r="R4" s="25"/>
      <c r="S4" s="26"/>
      <c r="T4" s="25"/>
      <c r="U4" s="25"/>
      <c r="V4" s="25"/>
      <c r="W4" s="5"/>
      <c r="X4" s="5"/>
      <c r="Y4" s="5"/>
      <c r="Z4" s="5"/>
      <c r="AA4" s="5"/>
      <c r="AB4" s="5"/>
      <c r="AC4" s="5"/>
      <c r="AD4" s="9"/>
      <c r="AI4" s="9"/>
      <c r="AJ4" s="9"/>
      <c r="AK4" s="9"/>
      <c r="AL4" s="9"/>
      <c r="AM4" s="27"/>
      <c r="AN4" s="27"/>
      <c r="AO4" s="27"/>
      <c r="AP4" s="27"/>
      <c r="AQ4" s="27"/>
      <c r="AR4" s="27"/>
      <c r="AS4" s="27"/>
    </row>
    <row r="5" spans="1:45" ht="12" hidden="1" thickBot="1">
      <c r="A5" s="28"/>
      <c r="B5" s="29"/>
      <c r="C5" s="30"/>
      <c r="D5" s="29"/>
      <c r="E5" s="29"/>
      <c r="F5" s="29"/>
      <c r="G5" s="31"/>
      <c r="H5" s="31"/>
      <c r="I5" s="31"/>
      <c r="J5" s="6">
        <f>G12+J12</f>
        <v>12578014.765155599</v>
      </c>
      <c r="K5" s="6"/>
      <c r="L5" s="6"/>
      <c r="M5" s="6"/>
      <c r="N5" s="32"/>
      <c r="O5" s="33"/>
      <c r="P5" s="5"/>
      <c r="Q5" s="5"/>
      <c r="R5" s="5"/>
      <c r="S5" s="32"/>
      <c r="T5" s="5"/>
      <c r="U5" s="5"/>
      <c r="V5" s="5"/>
      <c r="W5" s="5"/>
      <c r="X5" s="5"/>
      <c r="Y5" s="5"/>
      <c r="Z5" s="5"/>
      <c r="AA5" s="5"/>
      <c r="AB5" s="5"/>
      <c r="AC5" s="5"/>
      <c r="AD5" s="9"/>
      <c r="AI5" s="9"/>
      <c r="AJ5" s="9"/>
      <c r="AK5" s="9"/>
      <c r="AL5" s="9"/>
      <c r="AM5" s="27"/>
      <c r="AN5" s="27"/>
      <c r="AO5" s="27"/>
      <c r="AP5" s="27"/>
      <c r="AQ5" s="27"/>
      <c r="AR5" s="27"/>
      <c r="AS5" s="27"/>
    </row>
    <row r="6" spans="1:45" ht="12" hidden="1" thickBot="1">
      <c r="A6" s="28"/>
      <c r="B6" s="9"/>
      <c r="C6" s="5"/>
      <c r="D6" s="9"/>
      <c r="E6" s="9"/>
      <c r="F6" s="9"/>
      <c r="G6" s="31"/>
      <c r="H6" s="31"/>
      <c r="I6" s="31"/>
      <c r="J6" s="7"/>
      <c r="K6" s="7"/>
      <c r="L6" s="7"/>
      <c r="M6" s="7"/>
      <c r="N6" s="32"/>
      <c r="O6" s="33"/>
      <c r="P6" s="5"/>
      <c r="Q6" s="5"/>
      <c r="R6" s="5"/>
      <c r="S6" s="32"/>
      <c r="T6" s="5"/>
      <c r="U6" s="5"/>
      <c r="V6" s="5"/>
      <c r="W6" s="5"/>
      <c r="X6" s="5"/>
      <c r="Y6" s="5"/>
      <c r="Z6" s="5"/>
      <c r="AA6" s="5"/>
      <c r="AB6" s="5"/>
      <c r="AC6" s="5"/>
      <c r="AD6" s="9"/>
      <c r="AI6" s="9"/>
      <c r="AJ6" s="9"/>
      <c r="AK6" s="9"/>
      <c r="AL6" s="9"/>
      <c r="AM6" s="27"/>
      <c r="AN6" s="27"/>
      <c r="AO6" s="27"/>
      <c r="AP6" s="27"/>
      <c r="AQ6" s="27"/>
      <c r="AR6" s="27"/>
      <c r="AS6" s="27"/>
    </row>
    <row r="7" spans="1:45" ht="10.5" customHeight="1" thickBot="1">
      <c r="A7" s="34" t="s">
        <v>4</v>
      </c>
      <c r="B7" s="35"/>
      <c r="C7" s="36" t="s">
        <v>5</v>
      </c>
      <c r="D7" s="36" t="s">
        <v>6</v>
      </c>
      <c r="E7" s="36" t="s">
        <v>7</v>
      </c>
      <c r="F7" s="36" t="s">
        <v>7</v>
      </c>
      <c r="G7" s="37" t="s">
        <v>8</v>
      </c>
      <c r="H7" s="38" t="s">
        <v>8</v>
      </c>
      <c r="I7" s="39">
        <v>2011</v>
      </c>
      <c r="J7" s="40" t="s">
        <v>9</v>
      </c>
      <c r="K7" s="41"/>
      <c r="L7" s="41"/>
      <c r="M7" s="41"/>
      <c r="N7" s="42"/>
      <c r="O7" s="43"/>
      <c r="P7" s="44"/>
      <c r="Q7" s="44"/>
      <c r="R7" s="44"/>
      <c r="S7" s="45"/>
      <c r="T7" s="44"/>
      <c r="U7" s="44"/>
      <c r="V7" s="44"/>
      <c r="W7" s="46"/>
      <c r="X7" s="47"/>
      <c r="Y7" s="48"/>
      <c r="Z7" s="48"/>
      <c r="AA7" s="48"/>
      <c r="AB7" s="48"/>
      <c r="AC7" s="48"/>
      <c r="AD7" s="9"/>
      <c r="AI7" s="9"/>
      <c r="AJ7" s="9"/>
      <c r="AK7" s="9"/>
      <c r="AL7" s="9"/>
      <c r="AM7" s="27"/>
      <c r="AN7" s="27"/>
      <c r="AO7" s="27"/>
      <c r="AP7" s="27"/>
      <c r="AQ7" s="27"/>
      <c r="AR7" s="27"/>
      <c r="AS7" s="27"/>
    </row>
    <row r="8" spans="1:45" ht="10.5" customHeight="1" thickBot="1">
      <c r="A8" s="49" t="s">
        <v>10</v>
      </c>
      <c r="B8" s="50" t="s">
        <v>11</v>
      </c>
      <c r="C8" s="51" t="s">
        <v>12</v>
      </c>
      <c r="D8" s="51" t="s">
        <v>12</v>
      </c>
      <c r="E8" s="51" t="s">
        <v>12</v>
      </c>
      <c r="F8" s="51" t="s">
        <v>13</v>
      </c>
      <c r="G8" s="52" t="s">
        <v>12</v>
      </c>
      <c r="H8" s="53" t="s">
        <v>13</v>
      </c>
      <c r="I8" s="54" t="s">
        <v>12</v>
      </c>
      <c r="J8" s="55" t="s">
        <v>14</v>
      </c>
      <c r="K8" s="44"/>
      <c r="L8" s="44"/>
      <c r="M8" s="44"/>
      <c r="N8" s="45"/>
      <c r="O8" s="56" t="s">
        <v>15</v>
      </c>
      <c r="P8" s="57"/>
      <c r="Q8" s="48"/>
      <c r="R8" s="48"/>
      <c r="S8" s="58" t="s">
        <v>16</v>
      </c>
      <c r="T8" s="59" t="s">
        <v>17</v>
      </c>
      <c r="U8" s="60"/>
      <c r="V8" s="60"/>
      <c r="W8" s="61" t="s">
        <v>18</v>
      </c>
      <c r="X8" s="62"/>
      <c r="Y8" s="48"/>
      <c r="Z8" s="48"/>
      <c r="AA8" s="48"/>
      <c r="AB8" s="48"/>
      <c r="AC8" s="48"/>
      <c r="AD8" s="48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10.5" customHeight="1">
      <c r="A9" s="49" t="s">
        <v>19</v>
      </c>
      <c r="B9" s="63"/>
      <c r="C9" s="64" t="s">
        <v>20</v>
      </c>
      <c r="D9" s="64" t="s">
        <v>20</v>
      </c>
      <c r="E9" s="65" t="s">
        <v>21</v>
      </c>
      <c r="F9" s="54" t="s">
        <v>22</v>
      </c>
      <c r="G9" s="66" t="s">
        <v>20</v>
      </c>
      <c r="H9" s="67" t="s">
        <v>22</v>
      </c>
      <c r="I9" s="65" t="s">
        <v>21</v>
      </c>
      <c r="J9" s="68" t="s">
        <v>23</v>
      </c>
      <c r="K9" s="69" t="s">
        <v>24</v>
      </c>
      <c r="L9" s="69" t="s">
        <v>24</v>
      </c>
      <c r="M9" s="69" t="s">
        <v>24</v>
      </c>
      <c r="N9" s="69" t="s">
        <v>16</v>
      </c>
      <c r="O9" s="68" t="s">
        <v>23</v>
      </c>
      <c r="P9" s="69" t="s">
        <v>24</v>
      </c>
      <c r="Q9" s="69" t="s">
        <v>24</v>
      </c>
      <c r="R9" s="69" t="s">
        <v>24</v>
      </c>
      <c r="S9" s="70"/>
      <c r="T9" s="71" t="s">
        <v>23</v>
      </c>
      <c r="U9" s="68" t="s">
        <v>24</v>
      </c>
      <c r="V9" s="72" t="s">
        <v>16</v>
      </c>
      <c r="W9" s="61" t="s">
        <v>25</v>
      </c>
      <c r="X9" s="62"/>
      <c r="Y9" s="48"/>
      <c r="Z9" s="48"/>
      <c r="AA9" s="48"/>
      <c r="AB9" s="48"/>
      <c r="AC9" s="48"/>
      <c r="AD9" s="48"/>
      <c r="AI9" s="9"/>
      <c r="AJ9" s="9"/>
      <c r="AK9" s="9"/>
      <c r="AL9" s="9"/>
      <c r="AM9" s="9"/>
      <c r="AN9" s="5"/>
      <c r="AO9" s="5"/>
      <c r="AP9" s="5"/>
      <c r="AQ9" s="5"/>
      <c r="AR9" s="5"/>
      <c r="AS9" s="5"/>
    </row>
    <row r="10" spans="1:45" ht="10.5" customHeight="1" thickBot="1">
      <c r="A10" s="73" t="s">
        <v>26</v>
      </c>
      <c r="B10" s="74"/>
      <c r="C10" s="75" t="s">
        <v>27</v>
      </c>
      <c r="D10" s="75" t="s">
        <v>27</v>
      </c>
      <c r="E10" s="75" t="s">
        <v>27</v>
      </c>
      <c r="F10" s="75" t="s">
        <v>28</v>
      </c>
      <c r="G10" s="76" t="s">
        <v>27</v>
      </c>
      <c r="H10" s="77" t="s">
        <v>28</v>
      </c>
      <c r="I10" s="78" t="s">
        <v>27</v>
      </c>
      <c r="J10" s="79" t="s">
        <v>29</v>
      </c>
      <c r="K10" s="80" t="s">
        <v>30</v>
      </c>
      <c r="L10" s="80" t="s">
        <v>31</v>
      </c>
      <c r="M10" s="80" t="s">
        <v>32</v>
      </c>
      <c r="N10" s="81" t="s">
        <v>33</v>
      </c>
      <c r="O10" s="81" t="s">
        <v>29</v>
      </c>
      <c r="P10" s="80" t="s">
        <v>30</v>
      </c>
      <c r="Q10" s="80" t="s">
        <v>31</v>
      </c>
      <c r="R10" s="80" t="s">
        <v>32</v>
      </c>
      <c r="S10" s="79" t="s">
        <v>33</v>
      </c>
      <c r="T10" s="82" t="s">
        <v>29</v>
      </c>
      <c r="U10" s="81" t="s">
        <v>30</v>
      </c>
      <c r="V10" s="83" t="s">
        <v>33</v>
      </c>
      <c r="W10" s="84" t="s">
        <v>34</v>
      </c>
      <c r="X10" s="85" t="s">
        <v>35</v>
      </c>
      <c r="Y10" s="48"/>
      <c r="Z10" s="86"/>
      <c r="AA10" s="86"/>
      <c r="AB10" s="86"/>
      <c r="AC10" s="86"/>
      <c r="AD10" s="87"/>
      <c r="AE10" s="88"/>
      <c r="AF10" s="9"/>
      <c r="AG10" s="9"/>
      <c r="AH10" s="9"/>
      <c r="AI10" s="9"/>
      <c r="AJ10" s="9"/>
      <c r="AK10" s="9"/>
      <c r="AL10" s="9"/>
      <c r="AM10" s="9"/>
      <c r="AN10" s="5"/>
      <c r="AO10" s="5"/>
      <c r="AP10" s="5"/>
      <c r="AQ10" s="5"/>
      <c r="AR10" s="5"/>
      <c r="AS10" s="5"/>
    </row>
    <row r="11" spans="1:45" ht="10.5" customHeight="1" thickBot="1">
      <c r="A11" s="73" t="s">
        <v>36</v>
      </c>
      <c r="B11" s="89">
        <v>2</v>
      </c>
      <c r="C11" s="90"/>
      <c r="D11" s="60">
        <v>3</v>
      </c>
      <c r="E11" s="51">
        <v>3</v>
      </c>
      <c r="F11" s="51">
        <v>4</v>
      </c>
      <c r="G11" s="36">
        <v>5</v>
      </c>
      <c r="H11" s="38">
        <v>6</v>
      </c>
      <c r="I11" s="91">
        <v>7</v>
      </c>
      <c r="J11" s="38">
        <v>8</v>
      </c>
      <c r="K11" s="38">
        <v>9</v>
      </c>
      <c r="L11" s="38">
        <v>10</v>
      </c>
      <c r="M11" s="38">
        <v>11</v>
      </c>
      <c r="N11" s="38">
        <v>12</v>
      </c>
      <c r="O11" s="85">
        <v>11</v>
      </c>
      <c r="P11" s="38">
        <v>9</v>
      </c>
      <c r="Q11" s="38">
        <v>10</v>
      </c>
      <c r="R11" s="38">
        <v>11</v>
      </c>
      <c r="S11" s="90">
        <v>13</v>
      </c>
      <c r="T11" s="85">
        <v>14</v>
      </c>
      <c r="U11" s="77">
        <v>14</v>
      </c>
      <c r="V11" s="90">
        <v>15</v>
      </c>
      <c r="W11" s="92"/>
      <c r="X11" s="93"/>
      <c r="Y11" s="48"/>
      <c r="Z11" s="87"/>
      <c r="AA11" s="87"/>
      <c r="AB11" s="87"/>
      <c r="AC11" s="87"/>
      <c r="AD11" s="87"/>
      <c r="AE11" s="88"/>
      <c r="AF11" s="9"/>
      <c r="AG11" s="9"/>
      <c r="AH11" s="9"/>
      <c r="AI11" s="9"/>
      <c r="AJ11" s="9"/>
      <c r="AK11" s="9"/>
      <c r="AL11" s="9"/>
      <c r="AM11" s="9"/>
      <c r="AN11" s="5"/>
      <c r="AO11" s="5"/>
      <c r="AP11" s="5"/>
      <c r="AQ11" s="5"/>
      <c r="AR11" s="5"/>
      <c r="AS11" s="5"/>
    </row>
    <row r="12" spans="1:45" ht="12" thickBot="1">
      <c r="A12" s="94">
        <v>3</v>
      </c>
      <c r="B12" s="95" t="s">
        <v>37</v>
      </c>
      <c r="C12" s="96">
        <v>135974000</v>
      </c>
      <c r="D12" s="97">
        <v>164720500</v>
      </c>
      <c r="E12" s="98">
        <f>'[2]2011 tulud'!E12/15.6466</f>
        <v>10454002.786547877</v>
      </c>
      <c r="F12" s="99">
        <f>'[2]2011 tulud'!F12/15.6466</f>
        <v>13716548.770978998</v>
      </c>
      <c r="G12" s="100">
        <f>'[2]2011 tulud'!G12/15.6466</f>
        <v>9649312.566308336</v>
      </c>
      <c r="H12" s="100">
        <f>'[2]2011 tulud'!H12/15.6466</f>
        <v>12516392.187440082</v>
      </c>
      <c r="I12" s="101">
        <f>'[2]2011 tulud'!I12/15.6466</f>
        <v>9220957.524318382</v>
      </c>
      <c r="J12" s="102">
        <f>K12+L12+M12</f>
        <v>2928702.198847262</v>
      </c>
      <c r="K12" s="103">
        <f>K13+K27+K85+K148</f>
        <v>2889719</v>
      </c>
      <c r="L12" s="103">
        <f>L13+L27+L85+L148</f>
        <v>14373.198847262249</v>
      </c>
      <c r="M12" s="104">
        <f>M13+M27+M85+M148</f>
        <v>24610</v>
      </c>
      <c r="N12" s="105">
        <f aca="true" t="shared" si="0" ref="N12:N95">I12+J12</f>
        <v>12149659.723165644</v>
      </c>
      <c r="O12" s="106">
        <f aca="true" t="shared" si="1" ref="O12:V12">O13+O27+O85+O148</f>
        <v>906521</v>
      </c>
      <c r="P12" s="103">
        <f>P13+P27+P85+P148</f>
        <v>334584</v>
      </c>
      <c r="Q12" s="103">
        <f>Q13+Q27+Q85+Q148</f>
        <v>480737</v>
      </c>
      <c r="R12" s="104">
        <f>R13+R27+R85+R148</f>
        <v>91200</v>
      </c>
      <c r="S12" s="103">
        <f t="shared" si="1"/>
        <v>13056180.723165646</v>
      </c>
      <c r="T12" s="106">
        <f t="shared" si="1"/>
        <v>0</v>
      </c>
      <c r="U12" s="103">
        <f t="shared" si="1"/>
        <v>0</v>
      </c>
      <c r="V12" s="104">
        <f t="shared" si="1"/>
        <v>12907264.005087368</v>
      </c>
      <c r="W12" s="107">
        <f aca="true" t="shared" si="2" ref="W12:W95">N12-G12</f>
        <v>2500347.156857308</v>
      </c>
      <c r="X12" s="108">
        <f aca="true" t="shared" si="3" ref="X12:X19">G12/E12*100</f>
        <v>92.30256355704239</v>
      </c>
      <c r="Y12" s="109"/>
      <c r="Z12" s="110"/>
      <c r="AA12" s="110"/>
      <c r="AB12" s="110"/>
      <c r="AC12" s="110"/>
      <c r="AD12" s="111"/>
      <c r="AE12" s="88"/>
      <c r="AF12" s="9"/>
      <c r="AG12" s="9"/>
      <c r="AH12" s="9"/>
      <c r="AI12" s="9"/>
      <c r="AJ12" s="9"/>
      <c r="AK12" s="9"/>
      <c r="AL12" s="9"/>
      <c r="AM12" s="9"/>
      <c r="AN12" s="5"/>
      <c r="AO12" s="5"/>
      <c r="AP12" s="5"/>
      <c r="AQ12" s="5"/>
      <c r="AR12" s="5"/>
      <c r="AS12" s="5"/>
    </row>
    <row r="13" spans="1:45" ht="12" thickBot="1">
      <c r="A13" s="112" t="s">
        <v>38</v>
      </c>
      <c r="B13" s="113" t="s">
        <v>39</v>
      </c>
      <c r="C13" s="114">
        <v>125820000</v>
      </c>
      <c r="D13" s="115">
        <v>152820000</v>
      </c>
      <c r="E13" s="116">
        <f>'[2]2011 tulud'!$E13/15.6466</f>
        <v>9520918.28256618</v>
      </c>
      <c r="F13" s="117">
        <f>'[2]2011 tulud'!F13/15.6466</f>
        <v>9565656.436542125</v>
      </c>
      <c r="G13" s="118">
        <f>'[2]2011 tulud'!G13/15.6466</f>
        <v>8805107.818951081</v>
      </c>
      <c r="H13" s="118">
        <f>'[2]2011 tulud'!H13/15.6466</f>
        <v>8805107.818951081</v>
      </c>
      <c r="I13" s="119">
        <f>'[2]2011 tulud'!I13/15.6466</f>
        <v>8370189.050656373</v>
      </c>
      <c r="J13" s="120">
        <f>J14+J16+J20</f>
        <v>0</v>
      </c>
      <c r="K13" s="120">
        <f>K14+K16+K20</f>
        <v>0</v>
      </c>
      <c r="L13" s="120">
        <f>L14+L16+L20</f>
        <v>0</v>
      </c>
      <c r="M13" s="121">
        <f>M14+M16+M20</f>
        <v>0</v>
      </c>
      <c r="N13" s="122">
        <f t="shared" si="0"/>
        <v>8370189.050656373</v>
      </c>
      <c r="O13" s="123">
        <f aca="true" t="shared" si="4" ref="O13:V13">O14+O16+O20</f>
        <v>382086</v>
      </c>
      <c r="P13" s="124">
        <f>P14+P16+P20</f>
        <v>0</v>
      </c>
      <c r="Q13" s="124">
        <f>Q14+Q16+Q20</f>
        <v>382086</v>
      </c>
      <c r="R13" s="125">
        <f>R14+R16+R20</f>
        <v>0</v>
      </c>
      <c r="S13" s="124">
        <f t="shared" si="4"/>
        <v>8752275.050656373</v>
      </c>
      <c r="T13" s="126">
        <f t="shared" si="4"/>
        <v>0</v>
      </c>
      <c r="U13" s="127">
        <f t="shared" si="4"/>
        <v>0</v>
      </c>
      <c r="V13" s="128">
        <f t="shared" si="4"/>
        <v>8752275.050656373</v>
      </c>
      <c r="W13" s="129">
        <f t="shared" si="2"/>
        <v>-434918.7682947088</v>
      </c>
      <c r="X13" s="130">
        <f t="shared" si="3"/>
        <v>92.48170772638787</v>
      </c>
      <c r="Y13" s="109"/>
      <c r="Z13" s="110"/>
      <c r="AA13" s="110"/>
      <c r="AB13" s="110"/>
      <c r="AC13" s="131"/>
      <c r="AD13" s="111"/>
      <c r="AE13" s="88"/>
      <c r="AF13" s="9"/>
      <c r="AG13" s="9"/>
      <c r="AH13" s="9"/>
      <c r="AI13" s="9"/>
      <c r="AJ13" s="9"/>
      <c r="AK13" s="9"/>
      <c r="AL13" s="9"/>
      <c r="AM13" s="9"/>
      <c r="AN13" s="5"/>
      <c r="AO13" s="5"/>
      <c r="AP13" s="5"/>
      <c r="AQ13" s="5"/>
      <c r="AR13" s="5"/>
      <c r="AS13" s="5"/>
    </row>
    <row r="14" spans="1:255" s="88" customFormat="1" ht="13.5" thickBot="1">
      <c r="A14" s="132" t="s">
        <v>40</v>
      </c>
      <c r="B14" s="133" t="s">
        <v>41</v>
      </c>
      <c r="C14" s="134">
        <v>105000000</v>
      </c>
      <c r="D14" s="135">
        <v>130000000</v>
      </c>
      <c r="E14" s="136">
        <f>'[2]2011 tulud'!$E14/15.6466</f>
        <v>8020911.891401327</v>
      </c>
      <c r="F14" s="137">
        <f>'[2]2011 tulud'!F14/15.6466</f>
        <v>7988956.067132796</v>
      </c>
      <c r="G14" s="138">
        <f>'[2]2011 tulud'!G14/15.6466</f>
        <v>7113366.482175042</v>
      </c>
      <c r="H14" s="138">
        <f>'[2]2011 tulud'!H14/15.6466</f>
        <v>7113366.482175042</v>
      </c>
      <c r="I14" s="139">
        <f>'[2]2011 tulud'!I14/15.6466</f>
        <v>6710723.096391548</v>
      </c>
      <c r="J14" s="140">
        <f>J15</f>
        <v>0</v>
      </c>
      <c r="K14" s="141">
        <f>K15</f>
        <v>0</v>
      </c>
      <c r="L14" s="141">
        <f>L15</f>
        <v>0</v>
      </c>
      <c r="M14" s="141">
        <f>M15</f>
        <v>0</v>
      </c>
      <c r="N14" s="142">
        <f t="shared" si="0"/>
        <v>6710723.096391548</v>
      </c>
      <c r="O14" s="102">
        <f aca="true" t="shared" si="5" ref="O14:V14">O15</f>
        <v>349277</v>
      </c>
      <c r="P14" s="143">
        <f>P15</f>
        <v>0</v>
      </c>
      <c r="Q14" s="143">
        <f>Q15</f>
        <v>349277</v>
      </c>
      <c r="R14" s="143">
        <f>R15</f>
        <v>0</v>
      </c>
      <c r="S14" s="144">
        <f t="shared" si="5"/>
        <v>7060000.096391548</v>
      </c>
      <c r="T14" s="145">
        <f t="shared" si="5"/>
        <v>0</v>
      </c>
      <c r="U14" s="141">
        <f t="shared" si="5"/>
        <v>0</v>
      </c>
      <c r="V14" s="146">
        <f t="shared" si="5"/>
        <v>7060000.096391548</v>
      </c>
      <c r="W14" s="147">
        <f t="shared" si="2"/>
        <v>-402643.3857834935</v>
      </c>
      <c r="X14" s="130">
        <f t="shared" si="3"/>
        <v>88.68525896414343</v>
      </c>
      <c r="Y14" s="109"/>
      <c r="Z14" s="110"/>
      <c r="AA14" s="110"/>
      <c r="AB14" s="110"/>
      <c r="AC14" s="148"/>
      <c r="AD14" s="111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</row>
    <row r="15" spans="1:37" ht="12.75" customHeight="1">
      <c r="A15" s="150" t="s">
        <v>42</v>
      </c>
      <c r="B15" s="151" t="s">
        <v>43</v>
      </c>
      <c r="C15" s="152">
        <v>105000000</v>
      </c>
      <c r="D15" s="153">
        <v>130000000</v>
      </c>
      <c r="E15" s="154">
        <f>'[2]2011 tulud'!$E15/15.6466</f>
        <v>8020911.891401327</v>
      </c>
      <c r="F15" s="155">
        <f>'[2]2011 tulud'!F15/15.6466</f>
        <v>7988956.067132796</v>
      </c>
      <c r="G15" s="156">
        <f>'[2]2011 tulud'!G15/15.6466</f>
        <v>7113366.482175042</v>
      </c>
      <c r="H15" s="156">
        <f>'[2]2011 tulud'!H15/15.6466</f>
        <v>7113366.482175042</v>
      </c>
      <c r="I15" s="157">
        <f>'[2]2011 tulud'!I15/15.6466</f>
        <v>6710723.096391548</v>
      </c>
      <c r="J15" s="158"/>
      <c r="K15" s="159"/>
      <c r="L15" s="160">
        <v>0</v>
      </c>
      <c r="M15" s="161"/>
      <c r="N15" s="162">
        <f t="shared" si="0"/>
        <v>6710723.096391548</v>
      </c>
      <c r="O15" s="163">
        <f>P15+Q15+R15</f>
        <v>349277</v>
      </c>
      <c r="P15" s="164"/>
      <c r="Q15" s="164">
        <v>349277</v>
      </c>
      <c r="R15" s="164"/>
      <c r="S15" s="165">
        <f>N15+O15</f>
        <v>7060000.096391548</v>
      </c>
      <c r="T15" s="166"/>
      <c r="U15" s="167"/>
      <c r="V15" s="168">
        <f>S15+T15</f>
        <v>7060000.096391548</v>
      </c>
      <c r="W15" s="169">
        <f t="shared" si="2"/>
        <v>-402643.3857834935</v>
      </c>
      <c r="X15" s="170">
        <f t="shared" si="3"/>
        <v>88.68525896414343</v>
      </c>
      <c r="Y15" s="171"/>
      <c r="Z15" s="172"/>
      <c r="AA15" s="172"/>
      <c r="AB15" s="172"/>
      <c r="AC15" s="172"/>
      <c r="AD15" s="172"/>
      <c r="AE15" s="172"/>
      <c r="AF15" s="172"/>
      <c r="AG15" s="172"/>
      <c r="AH15" s="9"/>
      <c r="AI15" s="9"/>
      <c r="AJ15" s="9"/>
      <c r="AK15" s="9"/>
    </row>
    <row r="16" spans="1:255" s="190" customFormat="1" ht="12.75" customHeight="1">
      <c r="A16" s="173" t="s">
        <v>44</v>
      </c>
      <c r="B16" s="174" t="s">
        <v>45</v>
      </c>
      <c r="C16" s="175">
        <v>19500000</v>
      </c>
      <c r="D16" s="176">
        <v>21500000</v>
      </c>
      <c r="E16" s="177">
        <f>'[2]2011 tulud'!$E16/15.6466</f>
        <v>1406056.267815372</v>
      </c>
      <c r="F16" s="178">
        <f>'[2]2011 tulud'!F16/15.6466</f>
        <v>1482750.2460598468</v>
      </c>
      <c r="G16" s="179">
        <f>'[2]2011 tulud'!G16/15.6466</f>
        <v>1597791.2134265592</v>
      </c>
      <c r="H16" s="179">
        <f>'[2]2011 tulud'!H16/15.6466</f>
        <v>1597791.2134265592</v>
      </c>
      <c r="I16" s="180">
        <f>'[2]2011 tulud'!I16/15.6466</f>
        <v>1597791.2134265592</v>
      </c>
      <c r="J16" s="181">
        <f>SUM(J17:J17)</f>
        <v>0</v>
      </c>
      <c r="K16" s="182">
        <f>SUM(K17:K17)</f>
        <v>0</v>
      </c>
      <c r="L16" s="182">
        <f>SUM(L17:L17)</f>
        <v>0</v>
      </c>
      <c r="M16" s="182">
        <f>SUM(M17:M17)</f>
        <v>0</v>
      </c>
      <c r="N16" s="183">
        <f t="shared" si="0"/>
        <v>1597791.2134265592</v>
      </c>
      <c r="O16" s="184">
        <f aca="true" t="shared" si="6" ref="O16:V16">SUM(O17:O17)</f>
        <v>2209</v>
      </c>
      <c r="P16" s="185">
        <f>SUM(P17:P17)</f>
        <v>0</v>
      </c>
      <c r="Q16" s="185">
        <f>SUM(Q17:Q17)</f>
        <v>2209</v>
      </c>
      <c r="R16" s="185">
        <f>SUM(R17:R17)</f>
        <v>0</v>
      </c>
      <c r="S16" s="186">
        <f t="shared" si="6"/>
        <v>1600000.2134265592</v>
      </c>
      <c r="T16" s="186">
        <f t="shared" si="6"/>
        <v>0</v>
      </c>
      <c r="U16" s="182">
        <f t="shared" si="6"/>
        <v>0</v>
      </c>
      <c r="V16" s="184">
        <f t="shared" si="6"/>
        <v>1600000.2134265592</v>
      </c>
      <c r="W16" s="187">
        <f t="shared" si="2"/>
        <v>0</v>
      </c>
      <c r="X16" s="188">
        <f t="shared" si="3"/>
        <v>113.63636363636364</v>
      </c>
      <c r="Y16" s="109"/>
      <c r="Z16" s="110"/>
      <c r="AA16" s="110"/>
      <c r="AB16" s="110"/>
      <c r="AC16" s="148"/>
      <c r="AD16" s="189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</row>
    <row r="17" spans="1:37" ht="12.75" customHeight="1">
      <c r="A17" s="192" t="s">
        <v>46</v>
      </c>
      <c r="B17" s="193" t="s">
        <v>47</v>
      </c>
      <c r="C17" s="194">
        <v>19500000</v>
      </c>
      <c r="D17" s="195">
        <v>21500000</v>
      </c>
      <c r="E17" s="177">
        <f>'[2]2011 tulud'!$E17/15.6466</f>
        <v>1406056.267815372</v>
      </c>
      <c r="F17" s="178">
        <f>'[2]2011 tulud'!F17/15.6466</f>
        <v>1482750.2460598468</v>
      </c>
      <c r="G17" s="179">
        <f>'[2]2011 tulud'!G17/15.6466</f>
        <v>1597791.2134265592</v>
      </c>
      <c r="H17" s="179">
        <f>'[2]2011 tulud'!H17/15.6466</f>
        <v>1597791.2134265592</v>
      </c>
      <c r="I17" s="180">
        <f>'[2]2011 tulud'!I17/15.6466</f>
        <v>1597791.2134265592</v>
      </c>
      <c r="J17" s="196"/>
      <c r="K17" s="197"/>
      <c r="L17" s="198"/>
      <c r="M17" s="199"/>
      <c r="N17" s="200">
        <f t="shared" si="0"/>
        <v>1597791.2134265592</v>
      </c>
      <c r="O17" s="163">
        <f>P17+Q17+R17</f>
        <v>2209</v>
      </c>
      <c r="P17" s="201"/>
      <c r="Q17" s="201">
        <v>2209</v>
      </c>
      <c r="R17" s="201"/>
      <c r="S17" s="202">
        <f>N17+O17</f>
        <v>1600000.2134265592</v>
      </c>
      <c r="T17" s="203"/>
      <c r="U17" s="201"/>
      <c r="V17" s="204">
        <f>S17+T17</f>
        <v>1600000.2134265592</v>
      </c>
      <c r="W17" s="205">
        <f t="shared" si="2"/>
        <v>0</v>
      </c>
      <c r="X17" s="188">
        <f t="shared" si="3"/>
        <v>113.63636363636364</v>
      </c>
      <c r="Y17" s="206"/>
      <c r="Z17" s="207"/>
      <c r="AA17" s="190"/>
      <c r="AB17" s="190"/>
      <c r="AC17" s="190"/>
      <c r="AD17" s="190"/>
      <c r="AE17" s="88"/>
      <c r="AF17" s="9"/>
      <c r="AG17" s="9"/>
      <c r="AH17" s="9"/>
      <c r="AI17" s="9"/>
      <c r="AJ17" s="9"/>
      <c r="AK17" s="9"/>
    </row>
    <row r="18" spans="1:37" ht="13.5" hidden="1" thickBot="1">
      <c r="A18" s="192" t="s">
        <v>48</v>
      </c>
      <c r="B18" s="193" t="s">
        <v>49</v>
      </c>
      <c r="C18" s="194"/>
      <c r="D18" s="195"/>
      <c r="E18" s="177">
        <f>'[2]2011 tulud'!$E18/15.6466</f>
        <v>0</v>
      </c>
      <c r="F18" s="178">
        <f>'[2]2011 tulud'!F18/15.6466</f>
        <v>0</v>
      </c>
      <c r="G18" s="179">
        <f>'[2]2011 tulud'!G18/15.6466</f>
        <v>0</v>
      </c>
      <c r="H18" s="179">
        <f>'[2]2011 tulud'!H18/15.6466</f>
        <v>0</v>
      </c>
      <c r="I18" s="180">
        <f>'[2]2011 tulud'!I18/15.6466</f>
        <v>0</v>
      </c>
      <c r="J18" s="208"/>
      <c r="K18" s="209"/>
      <c r="L18" s="210"/>
      <c r="M18" s="211"/>
      <c r="N18" s="200">
        <f t="shared" si="0"/>
        <v>0</v>
      </c>
      <c r="O18" s="212"/>
      <c r="P18" s="164"/>
      <c r="Q18" s="164"/>
      <c r="R18" s="164"/>
      <c r="S18" s="210">
        <f>N18+O18</f>
        <v>0</v>
      </c>
      <c r="T18" s="213"/>
      <c r="U18" s="214"/>
      <c r="V18" s="215">
        <f>S18+T18</f>
        <v>0</v>
      </c>
      <c r="W18" s="216">
        <f t="shared" si="2"/>
        <v>0</v>
      </c>
      <c r="X18" s="130" t="e">
        <f t="shared" si="3"/>
        <v>#DIV/0!</v>
      </c>
      <c r="Y18" s="109"/>
      <c r="Z18" s="88"/>
      <c r="AA18" s="148"/>
      <c r="AB18" s="88"/>
      <c r="AC18" s="88"/>
      <c r="AD18" s="88"/>
      <c r="AE18" s="88"/>
      <c r="AF18" s="9"/>
      <c r="AG18" s="9"/>
      <c r="AH18" s="9"/>
      <c r="AI18" s="9"/>
      <c r="AJ18" s="9"/>
      <c r="AK18" s="9"/>
    </row>
    <row r="19" spans="1:37" ht="12.75" customHeight="1" hidden="1" thickBot="1">
      <c r="A19" s="192" t="s">
        <v>50</v>
      </c>
      <c r="B19" s="217" t="s">
        <v>51</v>
      </c>
      <c r="C19" s="194"/>
      <c r="D19" s="218"/>
      <c r="E19" s="177">
        <f>'[2]2011 tulud'!$E19/15.6466</f>
        <v>0</v>
      </c>
      <c r="F19" s="178">
        <f>'[2]2011 tulud'!F19/15.6466</f>
        <v>0</v>
      </c>
      <c r="G19" s="179">
        <f>'[2]2011 tulud'!G19/15.6466</f>
        <v>0</v>
      </c>
      <c r="H19" s="179">
        <f>'[2]2011 tulud'!H19/15.6466</f>
        <v>0</v>
      </c>
      <c r="I19" s="180">
        <f>'[2]2011 tulud'!I19/15.6466</f>
        <v>0</v>
      </c>
      <c r="J19" s="219"/>
      <c r="K19" s="220"/>
      <c r="L19" s="221"/>
      <c r="M19" s="222"/>
      <c r="N19" s="200">
        <f t="shared" si="0"/>
        <v>0</v>
      </c>
      <c r="O19" s="223"/>
      <c r="P19" s="164"/>
      <c r="Q19" s="164"/>
      <c r="R19" s="164"/>
      <c r="S19" s="221">
        <f>N19+O19</f>
        <v>0</v>
      </c>
      <c r="T19" s="224"/>
      <c r="U19" s="164"/>
      <c r="V19" s="225">
        <f>S19+T19</f>
        <v>0</v>
      </c>
      <c r="W19" s="187">
        <f t="shared" si="2"/>
        <v>0</v>
      </c>
      <c r="X19" s="130" t="e">
        <f t="shared" si="3"/>
        <v>#DIV/0!</v>
      </c>
      <c r="Y19" s="109"/>
      <c r="Z19" s="226"/>
      <c r="AA19" s="226"/>
      <c r="AB19" s="226"/>
      <c r="AC19" s="226"/>
      <c r="AD19" s="226"/>
      <c r="AE19" s="88"/>
      <c r="AF19" s="9"/>
      <c r="AG19" s="9"/>
      <c r="AH19" s="9"/>
      <c r="AI19" s="9"/>
      <c r="AJ19" s="9"/>
      <c r="AK19" s="9"/>
    </row>
    <row r="20" spans="1:255" s="190" customFormat="1" ht="12.75" customHeight="1">
      <c r="A20" s="227" t="s">
        <v>52</v>
      </c>
      <c r="B20" s="228" t="s">
        <v>53</v>
      </c>
      <c r="C20" s="229">
        <v>1320000</v>
      </c>
      <c r="D20" s="230">
        <v>1320000</v>
      </c>
      <c r="E20" s="177">
        <f>'[2]2011 tulud'!$E20/15.6466</f>
        <v>93950.12334948168</v>
      </c>
      <c r="F20" s="178">
        <f>'[2]2011 tulud'!F20/15.6466</f>
        <v>93950.12334948168</v>
      </c>
      <c r="G20" s="179">
        <f>'[2]2011 tulud'!G20/15.6466</f>
        <v>93950.12334948168</v>
      </c>
      <c r="H20" s="179">
        <f>'[2]2011 tulud'!H20/15.6466</f>
        <v>93950.12334948168</v>
      </c>
      <c r="I20" s="180">
        <f>'[2]2011 tulud'!I20/15.6466</f>
        <v>61674.740838265185</v>
      </c>
      <c r="J20" s="181">
        <f>SUM(J21:J23)</f>
        <v>0</v>
      </c>
      <c r="K20" s="182">
        <f>SUM(K21:K23)</f>
        <v>0</v>
      </c>
      <c r="L20" s="186">
        <f>SUM(L21:L23)</f>
        <v>0</v>
      </c>
      <c r="M20" s="186">
        <f>SUM(M21:M23)</f>
        <v>0</v>
      </c>
      <c r="N20" s="183">
        <f t="shared" si="0"/>
        <v>61674.740838265185</v>
      </c>
      <c r="O20" s="184">
        <f aca="true" t="shared" si="7" ref="O20:V20">SUM(O21:O23)</f>
        <v>30600</v>
      </c>
      <c r="P20" s="185">
        <f>SUM(P21:P23)</f>
        <v>0</v>
      </c>
      <c r="Q20" s="185">
        <f>SUM(Q21:Q23)</f>
        <v>30600</v>
      </c>
      <c r="R20" s="185">
        <f>SUM(R21:R23)</f>
        <v>0</v>
      </c>
      <c r="S20" s="186">
        <f t="shared" si="7"/>
        <v>92274.74083826518</v>
      </c>
      <c r="T20" s="186">
        <f t="shared" si="7"/>
        <v>0</v>
      </c>
      <c r="U20" s="182">
        <f t="shared" si="7"/>
        <v>0</v>
      </c>
      <c r="V20" s="184">
        <f t="shared" si="7"/>
        <v>92274.74083826518</v>
      </c>
      <c r="W20" s="187">
        <f t="shared" si="2"/>
        <v>-32275.3825112165</v>
      </c>
      <c r="X20" s="231"/>
      <c r="Y20" s="109"/>
      <c r="Z20" s="88"/>
      <c r="AA20" s="88"/>
      <c r="AB20" s="88"/>
      <c r="AC20" s="88"/>
      <c r="AD20" s="226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</row>
    <row r="21" spans="1:37" ht="11.25" customHeight="1">
      <c r="A21" s="192" t="s">
        <v>54</v>
      </c>
      <c r="B21" s="193" t="s">
        <v>55</v>
      </c>
      <c r="C21" s="194">
        <v>1300000</v>
      </c>
      <c r="D21" s="195">
        <v>1300000</v>
      </c>
      <c r="E21" s="177">
        <f>'[2]2011 tulud'!$E21/15.6466</f>
        <v>92671.89037874043</v>
      </c>
      <c r="F21" s="178">
        <f>'[2]2011 tulud'!F21/15.6466</f>
        <v>92671.89037874043</v>
      </c>
      <c r="G21" s="179">
        <f>'[2]2011 tulud'!G21/15.6466</f>
        <v>92671.89037874043</v>
      </c>
      <c r="H21" s="179">
        <f>'[2]2011 tulud'!H21/15.6466</f>
        <v>92671.89037874043</v>
      </c>
      <c r="I21" s="180">
        <f>'[2]2011 tulud'!I21/15.6466</f>
        <v>60716.06611020925</v>
      </c>
      <c r="J21" s="219"/>
      <c r="K21" s="220"/>
      <c r="L21" s="221"/>
      <c r="M21" s="222"/>
      <c r="N21" s="183">
        <f t="shared" si="0"/>
        <v>60716.06611020925</v>
      </c>
      <c r="O21" s="163">
        <f>P21+Q21+R21</f>
        <v>30000</v>
      </c>
      <c r="P21" s="164"/>
      <c r="Q21" s="164">
        <v>30000</v>
      </c>
      <c r="R21" s="164"/>
      <c r="S21" s="221">
        <f aca="true" t="shared" si="8" ref="S21:S26">N21+O21</f>
        <v>90716.06611020924</v>
      </c>
      <c r="T21" s="224"/>
      <c r="U21" s="164"/>
      <c r="V21" s="225">
        <f aca="true" t="shared" si="9" ref="V21:V26">S21+T21</f>
        <v>90716.06611020924</v>
      </c>
      <c r="W21" s="187">
        <f t="shared" si="2"/>
        <v>-31955.824268531178</v>
      </c>
      <c r="X21" s="188"/>
      <c r="Y21" s="109"/>
      <c r="Z21" s="88"/>
      <c r="AA21" s="88"/>
      <c r="AB21" s="88"/>
      <c r="AC21" s="88"/>
      <c r="AD21" s="88"/>
      <c r="AE21" s="88"/>
      <c r="AF21" s="9"/>
      <c r="AG21" s="9"/>
      <c r="AH21" s="9"/>
      <c r="AI21" s="9"/>
      <c r="AJ21" s="9"/>
      <c r="AK21" s="9"/>
    </row>
    <row r="22" spans="1:37" ht="12" customHeight="1" hidden="1">
      <c r="A22" s="192" t="s">
        <v>56</v>
      </c>
      <c r="B22" s="193" t="s">
        <v>57</v>
      </c>
      <c r="C22" s="194"/>
      <c r="D22" s="195"/>
      <c r="E22" s="177">
        <f>'[2]2011 tulud'!$E22/15.6466</f>
        <v>0</v>
      </c>
      <c r="F22" s="178">
        <f>'[2]2011 tulud'!F22/15.6466</f>
        <v>0</v>
      </c>
      <c r="G22" s="179">
        <f>'[2]2011 tulud'!G22/15.6466</f>
        <v>0</v>
      </c>
      <c r="H22" s="179">
        <f>'[2]2011 tulud'!H22/15.6466</f>
        <v>0</v>
      </c>
      <c r="I22" s="180">
        <f>'[2]2011 tulud'!I22/15.6466</f>
        <v>0</v>
      </c>
      <c r="J22" s="208"/>
      <c r="K22" s="209"/>
      <c r="L22" s="210"/>
      <c r="M22" s="211"/>
      <c r="N22" s="200">
        <f t="shared" si="0"/>
        <v>0</v>
      </c>
      <c r="O22" s="212"/>
      <c r="P22" s="164"/>
      <c r="Q22" s="164"/>
      <c r="R22" s="164"/>
      <c r="S22" s="210">
        <f t="shared" si="8"/>
        <v>0</v>
      </c>
      <c r="T22" s="213"/>
      <c r="U22" s="214"/>
      <c r="V22" s="215">
        <f t="shared" si="9"/>
        <v>0</v>
      </c>
      <c r="W22" s="216">
        <f t="shared" si="2"/>
        <v>0</v>
      </c>
      <c r="X22" s="130" t="e">
        <f>G22/E22*100</f>
        <v>#DIV/0!</v>
      </c>
      <c r="Y22" s="109"/>
      <c r="Z22" s="88"/>
      <c r="AA22" s="7"/>
      <c r="AB22" s="88"/>
      <c r="AC22" s="88"/>
      <c r="AD22" s="88"/>
      <c r="AE22" s="88"/>
      <c r="AF22" s="9"/>
      <c r="AG22" s="9"/>
      <c r="AH22" s="9"/>
      <c r="AI22" s="9"/>
      <c r="AJ22" s="9"/>
      <c r="AK22" s="9"/>
    </row>
    <row r="23" spans="1:37" ht="13.5" customHeight="1">
      <c r="A23" s="192" t="s">
        <v>58</v>
      </c>
      <c r="B23" s="193" t="s">
        <v>59</v>
      </c>
      <c r="C23" s="194">
        <v>20000</v>
      </c>
      <c r="D23" s="195">
        <v>20000</v>
      </c>
      <c r="E23" s="177">
        <f>'[2]2011 tulud'!$E23/15.6466</f>
        <v>1278.2329707412473</v>
      </c>
      <c r="F23" s="178">
        <f>'[2]2011 tulud'!F23/15.6466</f>
        <v>1278.2329707412473</v>
      </c>
      <c r="G23" s="179">
        <f>'[2]2011 tulud'!G23/15.6466</f>
        <v>1278.2329707412473</v>
      </c>
      <c r="H23" s="179">
        <f>'[2]2011 tulud'!H23/15.6466</f>
        <v>1278.2329707412473</v>
      </c>
      <c r="I23" s="180">
        <f>'[2]2011 tulud'!I23/15.6466</f>
        <v>958.6747280559355</v>
      </c>
      <c r="J23" s="219"/>
      <c r="K23" s="220"/>
      <c r="L23" s="221"/>
      <c r="M23" s="222"/>
      <c r="N23" s="183">
        <f t="shared" si="0"/>
        <v>958.6747280559355</v>
      </c>
      <c r="O23" s="163">
        <f>P23+Q23+R23</f>
        <v>600</v>
      </c>
      <c r="P23" s="164"/>
      <c r="Q23" s="164">
        <v>600</v>
      </c>
      <c r="R23" s="164"/>
      <c r="S23" s="221">
        <f t="shared" si="8"/>
        <v>1558.6747280559355</v>
      </c>
      <c r="T23" s="224"/>
      <c r="U23" s="164"/>
      <c r="V23" s="225">
        <f t="shared" si="9"/>
        <v>1558.6747280559355</v>
      </c>
      <c r="W23" s="187">
        <f t="shared" si="2"/>
        <v>-319.5582426853118</v>
      </c>
      <c r="X23" s="231"/>
      <c r="Y23" s="109"/>
      <c r="Z23" s="226"/>
      <c r="AA23" s="226"/>
      <c r="AB23" s="226"/>
      <c r="AC23" s="226"/>
      <c r="AD23" s="226"/>
      <c r="AE23" s="190"/>
      <c r="AF23" s="9"/>
      <c r="AG23" s="9"/>
      <c r="AH23" s="9"/>
      <c r="AI23" s="9"/>
      <c r="AJ23" s="9"/>
      <c r="AK23" s="9"/>
    </row>
    <row r="24" spans="1:37" ht="13.5" hidden="1" thickBot="1">
      <c r="A24" s="192" t="s">
        <v>60</v>
      </c>
      <c r="B24" s="193" t="s">
        <v>61</v>
      </c>
      <c r="C24" s="194"/>
      <c r="D24" s="195"/>
      <c r="E24" s="177">
        <f>'[2]2011 tulud'!$E24/15.6466</f>
        <v>0</v>
      </c>
      <c r="F24" s="178" t="e">
        <f>'[2]2011 tulud'!F24/15.6466</f>
        <v>#REF!</v>
      </c>
      <c r="G24" s="179">
        <f>'[2]2011 tulud'!G24/15.6466</f>
        <v>0</v>
      </c>
      <c r="H24" s="179">
        <f>'[2]2011 tulud'!H24/15.6466</f>
        <v>0</v>
      </c>
      <c r="I24" s="180">
        <f>'[2]2011 tulud'!I24/15.6466</f>
        <v>0</v>
      </c>
      <c r="J24" s="208"/>
      <c r="K24" s="209"/>
      <c r="L24" s="210"/>
      <c r="M24" s="232"/>
      <c r="N24" s="200">
        <f t="shared" si="0"/>
        <v>0</v>
      </c>
      <c r="O24" s="212"/>
      <c r="P24" s="164"/>
      <c r="Q24" s="164"/>
      <c r="R24" s="164"/>
      <c r="S24" s="210">
        <f t="shared" si="8"/>
        <v>0</v>
      </c>
      <c r="T24" s="213"/>
      <c r="U24" s="214"/>
      <c r="V24" s="215">
        <f t="shared" si="9"/>
        <v>0</v>
      </c>
      <c r="W24" s="216">
        <f t="shared" si="2"/>
        <v>0</v>
      </c>
      <c r="X24" s="130" t="e">
        <f aca="true" t="shared" si="10" ref="X24:X31">G24/E24*100</f>
        <v>#DIV/0!</v>
      </c>
      <c r="Y24" s="109"/>
      <c r="Z24" s="190"/>
      <c r="AA24" s="88"/>
      <c r="AB24" s="88"/>
      <c r="AC24" s="88"/>
      <c r="AD24" s="88"/>
      <c r="AE24" s="190"/>
      <c r="AF24" s="233"/>
      <c r="AG24" s="9"/>
      <c r="AH24" s="9"/>
      <c r="AI24" s="9"/>
      <c r="AJ24" s="9"/>
      <c r="AK24" s="9"/>
    </row>
    <row r="25" spans="1:37" ht="13.5" hidden="1" thickBot="1">
      <c r="A25" s="192" t="s">
        <v>62</v>
      </c>
      <c r="B25" s="217" t="s">
        <v>63</v>
      </c>
      <c r="C25" s="194"/>
      <c r="D25" s="218"/>
      <c r="E25" s="177">
        <f>'[2]2011 tulud'!$E25/15.6466</f>
        <v>0</v>
      </c>
      <c r="F25" s="178" t="e">
        <f>'[2]2011 tulud'!F25/15.6466</f>
        <v>#REF!</v>
      </c>
      <c r="G25" s="179">
        <f>'[2]2011 tulud'!G25/15.6466</f>
        <v>0</v>
      </c>
      <c r="H25" s="179">
        <f>'[2]2011 tulud'!H25/15.6466</f>
        <v>0</v>
      </c>
      <c r="I25" s="180">
        <f>'[2]2011 tulud'!I25/15.6466</f>
        <v>0</v>
      </c>
      <c r="J25" s="219"/>
      <c r="K25" s="220"/>
      <c r="L25" s="221"/>
      <c r="M25" s="234"/>
      <c r="N25" s="200">
        <f t="shared" si="0"/>
        <v>0</v>
      </c>
      <c r="O25" s="223"/>
      <c r="P25" s="164"/>
      <c r="Q25" s="164"/>
      <c r="R25" s="164"/>
      <c r="S25" s="221">
        <f t="shared" si="8"/>
        <v>0</v>
      </c>
      <c r="T25" s="224"/>
      <c r="U25" s="164"/>
      <c r="V25" s="225">
        <f t="shared" si="9"/>
        <v>0</v>
      </c>
      <c r="W25" s="187">
        <f t="shared" si="2"/>
        <v>0</v>
      </c>
      <c r="X25" s="130" t="e">
        <f t="shared" si="10"/>
        <v>#DIV/0!</v>
      </c>
      <c r="Y25" s="109"/>
      <c r="Z25" s="88"/>
      <c r="AA25" s="7"/>
      <c r="AB25" s="7"/>
      <c r="AC25" s="7"/>
      <c r="AD25" s="235"/>
      <c r="AE25" s="88"/>
      <c r="AF25" s="236"/>
      <c r="AG25" s="5"/>
      <c r="AH25" s="5"/>
      <c r="AI25" s="237"/>
      <c r="AJ25" s="9"/>
      <c r="AK25" s="9"/>
    </row>
    <row r="26" spans="1:37" ht="12.75" hidden="1">
      <c r="A26" s="238" t="s">
        <v>64</v>
      </c>
      <c r="B26" s="239" t="s">
        <v>65</v>
      </c>
      <c r="C26" s="240"/>
      <c r="D26" s="241"/>
      <c r="E26" s="177">
        <f>'[2]2011 tulud'!$E26/15.6466</f>
        <v>0</v>
      </c>
      <c r="F26" s="178" t="e">
        <f>'[2]2011 tulud'!F26/15.6466</f>
        <v>#REF!</v>
      </c>
      <c r="G26" s="179">
        <f>'[2]2011 tulud'!G26/15.6466</f>
        <v>0</v>
      </c>
      <c r="H26" s="179">
        <f>'[2]2011 tulud'!H26/15.6466</f>
        <v>0</v>
      </c>
      <c r="I26" s="180">
        <f>'[2]2011 tulud'!I26/15.6466</f>
        <v>0</v>
      </c>
      <c r="J26" s="242"/>
      <c r="K26" s="243"/>
      <c r="L26" s="244"/>
      <c r="M26" s="245"/>
      <c r="N26" s="200">
        <f t="shared" si="0"/>
        <v>0</v>
      </c>
      <c r="O26" s="246"/>
      <c r="P26" s="164"/>
      <c r="Q26" s="164"/>
      <c r="R26" s="164"/>
      <c r="S26" s="244">
        <f t="shared" si="8"/>
        <v>0</v>
      </c>
      <c r="T26" s="247"/>
      <c r="U26" s="248"/>
      <c r="V26" s="249">
        <f t="shared" si="9"/>
        <v>0</v>
      </c>
      <c r="W26" s="250">
        <f t="shared" si="2"/>
        <v>0</v>
      </c>
      <c r="X26" s="251" t="e">
        <f t="shared" si="10"/>
        <v>#DIV/0!</v>
      </c>
      <c r="Y26" s="109"/>
      <c r="Z26" s="88"/>
      <c r="AA26" s="7"/>
      <c r="AB26" s="7"/>
      <c r="AC26" s="7"/>
      <c r="AD26" s="131"/>
      <c r="AE26" s="88"/>
      <c r="AF26" s="236"/>
      <c r="AG26" s="5"/>
      <c r="AH26" s="5"/>
      <c r="AI26" s="237"/>
      <c r="AJ26" s="9"/>
      <c r="AK26" s="9"/>
    </row>
    <row r="27" spans="1:37" s="269" customFormat="1" ht="12" customHeight="1">
      <c r="A27" s="252" t="s">
        <v>66</v>
      </c>
      <c r="B27" s="253" t="s">
        <v>67</v>
      </c>
      <c r="C27" s="254">
        <v>9453000</v>
      </c>
      <c r="D27" s="255">
        <v>11149000</v>
      </c>
      <c r="E27" s="256">
        <f>'[2]2011 tulud'!$E27/15.6466</f>
        <v>862653.867293853</v>
      </c>
      <c r="F27" s="257">
        <f>'[2]2011 tulud'!F27/15.6466</f>
        <v>966271.777894239</v>
      </c>
      <c r="G27" s="258">
        <f>'[2]2011 tulud'!G27/15.6466</f>
        <v>783488.6812470441</v>
      </c>
      <c r="H27" s="258">
        <f>'[2]2011 tulud'!H27/15.6466</f>
        <v>793081.9475157543</v>
      </c>
      <c r="I27" s="259">
        <f>'[2]2011 tulud'!I27/15.6466</f>
        <v>784191.7093809518</v>
      </c>
      <c r="J27" s="260">
        <f>J28+J33+J65</f>
        <v>38983.19884726225</v>
      </c>
      <c r="K27" s="261">
        <f>K28+K33+K65</f>
        <v>0</v>
      </c>
      <c r="L27" s="261">
        <f>L28+L33+L65</f>
        <v>14373.198847262249</v>
      </c>
      <c r="M27" s="262">
        <f>M28+M33+M65</f>
        <v>24610</v>
      </c>
      <c r="N27" s="263">
        <f t="shared" si="0"/>
        <v>823174.9082282141</v>
      </c>
      <c r="O27" s="262">
        <f aca="true" t="shared" si="11" ref="O27:V27">O28+O33+O65</f>
        <v>127409</v>
      </c>
      <c r="P27" s="264">
        <f>P28+P33+P65</f>
        <v>0</v>
      </c>
      <c r="Q27" s="264">
        <f>Q28+Q33+Q65</f>
        <v>36757</v>
      </c>
      <c r="R27" s="264">
        <f>R28+R33+R65</f>
        <v>90652</v>
      </c>
      <c r="S27" s="265">
        <f>S28+S33+S65</f>
        <v>950583.908228214</v>
      </c>
      <c r="T27" s="266">
        <f t="shared" si="11"/>
        <v>0</v>
      </c>
      <c r="U27" s="267">
        <f t="shared" si="11"/>
        <v>0</v>
      </c>
      <c r="V27" s="268">
        <f t="shared" si="11"/>
        <v>875340.1901499368</v>
      </c>
      <c r="W27" s="187">
        <f t="shared" si="2"/>
        <v>39686.22698117001</v>
      </c>
      <c r="X27" s="188">
        <f t="shared" si="10"/>
        <v>90.82306484115695</v>
      </c>
      <c r="Y27" s="109"/>
      <c r="Z27" s="190"/>
      <c r="AA27" s="148"/>
      <c r="AB27" s="148"/>
      <c r="AC27" s="148"/>
      <c r="AD27" s="148"/>
      <c r="AE27" s="190"/>
      <c r="AF27" s="148"/>
      <c r="AG27" s="148"/>
      <c r="AH27" s="148"/>
      <c r="AI27" s="148"/>
      <c r="AJ27" s="226"/>
      <c r="AK27" s="226"/>
    </row>
    <row r="28" spans="1:30" s="278" customFormat="1" ht="12" customHeight="1">
      <c r="A28" s="227" t="s">
        <v>68</v>
      </c>
      <c r="B28" s="270" t="s">
        <v>69</v>
      </c>
      <c r="C28" s="229">
        <v>1018000</v>
      </c>
      <c r="D28" s="271">
        <v>818000</v>
      </c>
      <c r="E28" s="177">
        <f>'[2]2011 tulud'!$E28/15.6466</f>
        <v>38155.25417662624</v>
      </c>
      <c r="F28" s="178">
        <f>'[2]2011 tulud'!F28/15.6466</f>
        <v>43396.009356665345</v>
      </c>
      <c r="G28" s="179">
        <f>'[2]2011 tulud'!G28/15.6466</f>
        <v>30613.679649252874</v>
      </c>
      <c r="H28" s="179">
        <f>'[2]2011 tulud'!H28/15.6466</f>
        <v>24222.51479554664</v>
      </c>
      <c r="I28" s="180">
        <f>'[2]2011 tulud'!I28/15.6466</f>
        <v>23711.22160725014</v>
      </c>
      <c r="J28" s="272">
        <f>SUM(J29:J31)</f>
        <v>0</v>
      </c>
      <c r="K28" s="273">
        <f>SUM(K29:K31)</f>
        <v>0</v>
      </c>
      <c r="L28" s="274"/>
      <c r="M28" s="275">
        <f>SUM(M29:M31)</f>
        <v>0</v>
      </c>
      <c r="N28" s="183">
        <f t="shared" si="0"/>
        <v>23711.22160725014</v>
      </c>
      <c r="O28" s="276">
        <f aca="true" t="shared" si="12" ref="O28:V28">SUM(O29:O32)</f>
        <v>-1073</v>
      </c>
      <c r="P28" s="187">
        <f>SUM(P29:P31)</f>
        <v>0</v>
      </c>
      <c r="Q28" s="276">
        <f t="shared" si="12"/>
        <v>-1073</v>
      </c>
      <c r="R28" s="187">
        <f>SUM(R29:R31)</f>
        <v>0</v>
      </c>
      <c r="S28" s="274">
        <f t="shared" si="12"/>
        <v>22638.22160725014</v>
      </c>
      <c r="T28" s="274">
        <f t="shared" si="12"/>
        <v>0</v>
      </c>
      <c r="U28" s="274">
        <f t="shared" si="12"/>
        <v>0</v>
      </c>
      <c r="V28" s="277">
        <f t="shared" si="12"/>
        <v>22638.22160725014</v>
      </c>
      <c r="W28" s="187">
        <f t="shared" si="2"/>
        <v>-6902.458042002734</v>
      </c>
      <c r="X28" s="188">
        <f t="shared" si="10"/>
        <v>80.23450586264656</v>
      </c>
      <c r="Y28" s="109"/>
      <c r="Z28" s="190"/>
      <c r="AA28" s="148"/>
      <c r="AB28" s="148"/>
      <c r="AC28" s="148"/>
      <c r="AD28" s="148"/>
    </row>
    <row r="29" spans="1:37" s="29" customFormat="1" ht="12" customHeight="1">
      <c r="A29" s="192" t="s">
        <v>70</v>
      </c>
      <c r="B29" s="193" t="s">
        <v>71</v>
      </c>
      <c r="C29" s="194">
        <v>900000</v>
      </c>
      <c r="D29" s="195">
        <v>700000</v>
      </c>
      <c r="E29" s="177">
        <f>'[2]2011 tulud'!$E29/15.6466</f>
        <v>31955.824268531185</v>
      </c>
      <c r="F29" s="178">
        <f>'[2]2011 tulud'!F29/15.6466</f>
        <v>38346.98912223742</v>
      </c>
      <c r="G29" s="179">
        <f>'[2]2011 tulud'!G29/15.6466</f>
        <v>25564.659414824946</v>
      </c>
      <c r="H29" s="179">
        <f>'[2]2011 tulud'!H29/15.6466</f>
        <v>19173.49456111871</v>
      </c>
      <c r="I29" s="180">
        <f>'[2]2011 tulud'!I29/15.6466</f>
        <v>19173.49456111871</v>
      </c>
      <c r="J29" s="279">
        <f>K29+L29+M29</f>
        <v>0</v>
      </c>
      <c r="K29" s="220"/>
      <c r="L29" s="221"/>
      <c r="M29" s="224">
        <v>0</v>
      </c>
      <c r="N29" s="183">
        <f t="shared" si="0"/>
        <v>19173.49456111871</v>
      </c>
      <c r="O29" s="280">
        <f aca="true" t="shared" si="13" ref="O29:O45">P29+Q29+R29</f>
        <v>-173</v>
      </c>
      <c r="P29" s="164"/>
      <c r="Q29" s="164">
        <v>-173</v>
      </c>
      <c r="R29" s="164">
        <v>0</v>
      </c>
      <c r="S29" s="221">
        <f>N29+O29</f>
        <v>19000.49456111871</v>
      </c>
      <c r="T29" s="224"/>
      <c r="U29" s="164"/>
      <c r="V29" s="225">
        <f>S29+T29</f>
        <v>19000.49456111871</v>
      </c>
      <c r="W29" s="187">
        <f t="shared" si="2"/>
        <v>-6391.164853706236</v>
      </c>
      <c r="X29" s="188">
        <f t="shared" si="10"/>
        <v>80</v>
      </c>
      <c r="Y29" s="109"/>
      <c r="Z29" s="190"/>
      <c r="AA29" s="148"/>
      <c r="AB29" s="148"/>
      <c r="AC29" s="148"/>
      <c r="AD29" s="148"/>
      <c r="AE29" s="190"/>
      <c r="AF29" s="190"/>
      <c r="AG29" s="190"/>
      <c r="AH29" s="190"/>
      <c r="AI29" s="190"/>
      <c r="AJ29" s="190"/>
      <c r="AK29" s="190"/>
    </row>
    <row r="30" spans="1:37" s="29" customFormat="1" ht="12" customHeight="1">
      <c r="A30" s="192" t="s">
        <v>72</v>
      </c>
      <c r="B30" s="193" t="s">
        <v>73</v>
      </c>
      <c r="C30" s="194">
        <v>70000</v>
      </c>
      <c r="D30" s="195">
        <v>70000</v>
      </c>
      <c r="E30" s="177">
        <f>'[2]2011 tulud'!$E30/15.6466</f>
        <v>3195.5824268531182</v>
      </c>
      <c r="F30" s="178">
        <f>'[2]2011 tulud'!F30/15.6466</f>
        <v>2236.907698797183</v>
      </c>
      <c r="G30" s="179">
        <f>'[2]2011 tulud'!G30/15.6466</f>
        <v>2236.907698797183</v>
      </c>
      <c r="H30" s="179">
        <f>'[2]2011 tulud'!H30/15.6466</f>
        <v>2236.907698797183</v>
      </c>
      <c r="I30" s="180">
        <f>'[2]2011 tulud'!I30/15.6466</f>
        <v>1917.349456111871</v>
      </c>
      <c r="J30" s="219"/>
      <c r="K30" s="220"/>
      <c r="L30" s="221"/>
      <c r="M30" s="224"/>
      <c r="N30" s="183">
        <f t="shared" si="0"/>
        <v>1917.349456111871</v>
      </c>
      <c r="O30" s="280">
        <f t="shared" si="13"/>
        <v>-400</v>
      </c>
      <c r="P30" s="164"/>
      <c r="Q30" s="164">
        <v>-400</v>
      </c>
      <c r="R30" s="164"/>
      <c r="S30" s="198">
        <f aca="true" t="shared" si="14" ref="S30:S35">N30+O30</f>
        <v>1517.349456111871</v>
      </c>
      <c r="T30" s="224"/>
      <c r="U30" s="164"/>
      <c r="V30" s="225">
        <f>S30+T30</f>
        <v>1517.349456111871</v>
      </c>
      <c r="W30" s="187">
        <f t="shared" si="2"/>
        <v>-319.55824268531205</v>
      </c>
      <c r="X30" s="188">
        <f t="shared" si="10"/>
        <v>70</v>
      </c>
      <c r="Y30" s="109"/>
      <c r="Z30" s="190"/>
      <c r="AA30" s="7"/>
      <c r="AB30" s="7"/>
      <c r="AC30" s="7"/>
      <c r="AD30" s="7"/>
      <c r="AE30" s="190"/>
      <c r="AF30" s="190"/>
      <c r="AG30" s="190"/>
      <c r="AH30" s="190"/>
      <c r="AI30" s="190"/>
      <c r="AJ30" s="190"/>
      <c r="AK30" s="190"/>
    </row>
    <row r="31" spans="1:37" s="29" customFormat="1" ht="12" customHeight="1">
      <c r="A31" s="192" t="s">
        <v>74</v>
      </c>
      <c r="B31" s="193" t="s">
        <v>75</v>
      </c>
      <c r="C31" s="194">
        <v>8000</v>
      </c>
      <c r="D31" s="195">
        <v>8000</v>
      </c>
      <c r="E31" s="177">
        <f>'[2]2011 tulud'!$E31/15.6466</f>
        <v>447.3815397594366</v>
      </c>
      <c r="F31" s="178">
        <f>'[2]2011 tulud'!F31/15.6466</f>
        <v>255.64659414824948</v>
      </c>
      <c r="G31" s="179">
        <f>'[2]2011 tulud'!G31/15.6466</f>
        <v>255.64659414824948</v>
      </c>
      <c r="H31" s="179">
        <f>'[2]2011 tulud'!H31/15.6466</f>
        <v>255.64659414824948</v>
      </c>
      <c r="I31" s="180">
        <f>'[2]2011 tulud'!I31/15.6466</f>
        <v>63.91164853706237</v>
      </c>
      <c r="J31" s="219"/>
      <c r="K31" s="220"/>
      <c r="L31" s="221"/>
      <c r="M31" s="224"/>
      <c r="N31" s="183">
        <f t="shared" si="0"/>
        <v>63.91164853706237</v>
      </c>
      <c r="O31" s="280">
        <f t="shared" si="13"/>
        <v>-64</v>
      </c>
      <c r="P31" s="164"/>
      <c r="Q31" s="164">
        <v>-64</v>
      </c>
      <c r="R31" s="164"/>
      <c r="S31" s="221">
        <f t="shared" si="14"/>
        <v>-0.08835146293763074</v>
      </c>
      <c r="T31" s="224"/>
      <c r="U31" s="164"/>
      <c r="V31" s="225">
        <f>S31+T31</f>
        <v>-0.08835146293763074</v>
      </c>
      <c r="W31" s="187">
        <f t="shared" si="2"/>
        <v>-191.7349456111871</v>
      </c>
      <c r="X31" s="188">
        <f t="shared" si="10"/>
        <v>57.14285714285714</v>
      </c>
      <c r="Y31" s="109"/>
      <c r="Z31" s="88"/>
      <c r="AA31" s="7"/>
      <c r="AB31" s="7"/>
      <c r="AC31" s="7"/>
      <c r="AD31" s="235"/>
      <c r="AE31" s="190"/>
      <c r="AF31" s="190"/>
      <c r="AG31" s="190"/>
      <c r="AH31" s="190"/>
      <c r="AI31" s="190"/>
      <c r="AJ31" s="190"/>
      <c r="AK31" s="190"/>
    </row>
    <row r="32" spans="1:37" s="29" customFormat="1" ht="12" customHeight="1">
      <c r="A32" s="192" t="s">
        <v>76</v>
      </c>
      <c r="B32" s="193" t="s">
        <v>77</v>
      </c>
      <c r="C32" s="194">
        <v>40000</v>
      </c>
      <c r="D32" s="195">
        <v>40000</v>
      </c>
      <c r="E32" s="177">
        <f>'[2]2011 tulud'!$E32/15.6466</f>
        <v>2556.4659414824946</v>
      </c>
      <c r="F32" s="178">
        <f>'[2]2011 tulud'!F32/15.6466</f>
        <v>2556.4659414824946</v>
      </c>
      <c r="G32" s="179">
        <f>'[2]2011 tulud'!G32/15.6466</f>
        <v>2556.4659414824946</v>
      </c>
      <c r="H32" s="179">
        <f>'[2]2011 tulud'!H32/15.6466</f>
        <v>2556.4659414824946</v>
      </c>
      <c r="I32" s="180">
        <f>'[2]2011 tulud'!I32/15.6466</f>
        <v>2556.4659414824946</v>
      </c>
      <c r="J32" s="219"/>
      <c r="K32" s="220"/>
      <c r="L32" s="221"/>
      <c r="M32" s="224"/>
      <c r="N32" s="183">
        <f t="shared" si="0"/>
        <v>2556.4659414824946</v>
      </c>
      <c r="O32" s="280">
        <f t="shared" si="13"/>
        <v>-436</v>
      </c>
      <c r="P32" s="164"/>
      <c r="Q32" s="164">
        <v>-436</v>
      </c>
      <c r="R32" s="164"/>
      <c r="S32" s="221">
        <f t="shared" si="14"/>
        <v>2120.4659414824946</v>
      </c>
      <c r="T32" s="234"/>
      <c r="U32" s="234"/>
      <c r="V32" s="225">
        <f>S32+T32</f>
        <v>2120.4659414824946</v>
      </c>
      <c r="W32" s="187">
        <f t="shared" si="2"/>
        <v>0</v>
      </c>
      <c r="X32" s="188"/>
      <c r="Y32" s="109"/>
      <c r="Z32" s="88"/>
      <c r="AA32" s="7"/>
      <c r="AB32" s="7"/>
      <c r="AC32" s="7"/>
      <c r="AD32" s="131"/>
      <c r="AE32" s="190"/>
      <c r="AF32" s="190"/>
      <c r="AG32" s="190"/>
      <c r="AH32" s="190"/>
      <c r="AI32" s="190"/>
      <c r="AJ32" s="190"/>
      <c r="AK32" s="190"/>
    </row>
    <row r="33" spans="1:30" s="190" customFormat="1" ht="10.5" customHeight="1">
      <c r="A33" s="227" t="s">
        <v>78</v>
      </c>
      <c r="B33" s="281" t="s">
        <v>67</v>
      </c>
      <c r="C33" s="229">
        <v>6685000</v>
      </c>
      <c r="D33" s="230">
        <v>8431000</v>
      </c>
      <c r="E33" s="177">
        <f>'[2]2011 tulud'!$E33/15.6466</f>
        <v>669193.3071721653</v>
      </c>
      <c r="F33" s="178">
        <f>'[2]2011 tulud'!F33/15.6466</f>
        <v>680016.4892053226</v>
      </c>
      <c r="G33" s="179">
        <f>'[2]2011 tulud'!G33/15.6466</f>
        <v>610032.4671174568</v>
      </c>
      <c r="H33" s="179">
        <f>'[2]2011 tulud'!H33/15.6466</f>
        <v>621826.4031802437</v>
      </c>
      <c r="I33" s="180">
        <f>'[2]2011 tulud'!I33/15.6466</f>
        <v>610671.5836028275</v>
      </c>
      <c r="J33" s="282">
        <f>K33+L33+M33</f>
        <v>40785.19884726225</v>
      </c>
      <c r="K33" s="184">
        <f>K34+K49+K55</f>
        <v>0</v>
      </c>
      <c r="L33" s="182">
        <f>L34+L49+L55+L64</f>
        <v>14373.198847262249</v>
      </c>
      <c r="M33" s="184">
        <f>M34+M49+M55</f>
        <v>26412</v>
      </c>
      <c r="N33" s="283">
        <f t="shared" si="0"/>
        <v>651456.7824500897</v>
      </c>
      <c r="O33" s="284">
        <f t="shared" si="13"/>
        <v>81475</v>
      </c>
      <c r="P33" s="185">
        <f>P34+P49+P55</f>
        <v>0</v>
      </c>
      <c r="Q33" s="185">
        <f>Q34+Q49+Q55+Q64</f>
        <v>0</v>
      </c>
      <c r="R33" s="185">
        <f>R34+R49+R55+R48</f>
        <v>81475</v>
      </c>
      <c r="S33" s="285">
        <f t="shared" si="14"/>
        <v>732931.7824500897</v>
      </c>
      <c r="T33" s="286">
        <f>T34+T49+T55</f>
        <v>0</v>
      </c>
      <c r="U33" s="184">
        <f>U34+U49+U55</f>
        <v>0</v>
      </c>
      <c r="V33" s="184">
        <f>V34+V49+V55</f>
        <v>663795.0643718125</v>
      </c>
      <c r="W33" s="187">
        <f t="shared" si="2"/>
        <v>41424.31533263286</v>
      </c>
      <c r="X33" s="188">
        <f aca="true" t="shared" si="15" ref="X33:X59">G33/E33*100</f>
        <v>91.1593795962027</v>
      </c>
      <c r="Y33" s="109"/>
      <c r="AA33" s="148"/>
      <c r="AB33" s="148"/>
      <c r="AC33" s="148"/>
      <c r="AD33" s="148"/>
    </row>
    <row r="34" spans="1:48" s="269" customFormat="1" ht="10.5" customHeight="1">
      <c r="A34" s="192" t="s">
        <v>79</v>
      </c>
      <c r="B34" s="193" t="s">
        <v>80</v>
      </c>
      <c r="C34" s="194">
        <v>6142000</v>
      </c>
      <c r="D34" s="195">
        <v>7978000</v>
      </c>
      <c r="E34" s="177">
        <f>'[2]2011 tulud'!$E34/15.6466</f>
        <v>637237.4829036341</v>
      </c>
      <c r="F34" s="178">
        <f>'[2]2011 tulud'!F34/15.6466</f>
        <v>647702.7597049839</v>
      </c>
      <c r="G34" s="179">
        <f>'[2]2011 tulud'!G34/15.6466</f>
        <v>577117.9681208697</v>
      </c>
      <c r="H34" s="179">
        <f>'[2]2011 tulud'!H34/15.6466</f>
        <v>569576.3935934964</v>
      </c>
      <c r="I34" s="180">
        <f>'[2]2011 tulud'!I34/15.6466</f>
        <v>572708.0643718124</v>
      </c>
      <c r="J34" s="223">
        <f>SUM(J35,J39,J44)</f>
        <v>22197</v>
      </c>
      <c r="K34" s="164">
        <f>SUM(K35:K48)</f>
        <v>0</v>
      </c>
      <c r="L34" s="164">
        <f>SUM(L35:L48)</f>
        <v>0</v>
      </c>
      <c r="M34" s="223">
        <f>SUM(M35,M39,M44)</f>
        <v>22197</v>
      </c>
      <c r="N34" s="283">
        <f t="shared" si="0"/>
        <v>594905.0643718124</v>
      </c>
      <c r="O34" s="284">
        <f t="shared" si="13"/>
        <v>5990</v>
      </c>
      <c r="P34" s="164">
        <f>SUM(P35:P48)</f>
        <v>0</v>
      </c>
      <c r="Q34" s="223">
        <f>SUM(Q35,Q39,Q44)</f>
        <v>0</v>
      </c>
      <c r="R34" s="164">
        <f>SUM(R35,R39,R44)</f>
        <v>5990</v>
      </c>
      <c r="S34" s="287">
        <f t="shared" si="14"/>
        <v>600895.0643718124</v>
      </c>
      <c r="T34" s="224">
        <f>SUM(T35:T48)</f>
        <v>0</v>
      </c>
      <c r="U34" s="164">
        <f>SUM(U35:U48)</f>
        <v>0</v>
      </c>
      <c r="V34" s="164">
        <f>SUM(V35:V48)</f>
        <v>663795.0643718125</v>
      </c>
      <c r="W34" s="187">
        <f t="shared" si="2"/>
        <v>17787.096250942675</v>
      </c>
      <c r="X34" s="188">
        <f t="shared" si="15"/>
        <v>90.56560287244498</v>
      </c>
      <c r="Y34" s="109"/>
      <c r="Z34" s="190"/>
      <c r="AA34" s="148"/>
      <c r="AB34" s="148"/>
      <c r="AC34" s="148"/>
      <c r="AD34" s="148"/>
      <c r="AE34" s="226"/>
      <c r="AF34" s="226"/>
      <c r="AG34" s="226"/>
      <c r="AH34" s="226"/>
      <c r="AI34" s="226"/>
      <c r="AJ34" s="226"/>
      <c r="AK34" s="226"/>
      <c r="AO34" s="88"/>
      <c r="AP34" s="88"/>
      <c r="AQ34" s="88"/>
      <c r="AR34" s="88"/>
      <c r="AS34" s="88"/>
      <c r="AT34" s="88"/>
      <c r="AU34" s="88"/>
      <c r="AV34" s="226"/>
    </row>
    <row r="35" spans="1:48" s="269" customFormat="1" ht="10.5" customHeight="1">
      <c r="A35" s="288" t="s">
        <v>81</v>
      </c>
      <c r="B35" s="289" t="s">
        <v>82</v>
      </c>
      <c r="C35" s="290">
        <v>1933000</v>
      </c>
      <c r="D35" s="291">
        <v>2300000</v>
      </c>
      <c r="E35" s="177">
        <f>'[2]2011 tulud'!$E35/15.6466</f>
        <v>163549.9086063426</v>
      </c>
      <c r="F35" s="178">
        <f>'[2]2011 tulud'!F35/15.6466</f>
        <v>163549.9086063426</v>
      </c>
      <c r="G35" s="179">
        <f>'[2]2011 tulud'!G35/15.6466</f>
        <v>165211.61146830622</v>
      </c>
      <c r="H35" s="179">
        <f>'[2]2011 tulud'!H35/15.6466</f>
        <v>165211.61146830622</v>
      </c>
      <c r="I35" s="180">
        <f>'[2]2011 tulud'!I35/15.6466</f>
        <v>166809.40268173278</v>
      </c>
      <c r="J35" s="279">
        <f>K35+L35+M35</f>
        <v>479</v>
      </c>
      <c r="K35" s="292"/>
      <c r="L35" s="292"/>
      <c r="M35" s="293">
        <f>SUM(M36:M38)</f>
        <v>479</v>
      </c>
      <c r="N35" s="183">
        <f t="shared" si="0"/>
        <v>167288.40268173278</v>
      </c>
      <c r="O35" s="284">
        <f t="shared" si="13"/>
        <v>-288</v>
      </c>
      <c r="P35" s="292"/>
      <c r="Q35" s="293">
        <f>SUM(Q36:Q38)</f>
        <v>0</v>
      </c>
      <c r="R35" s="293">
        <f>SUM(R36:R38)</f>
        <v>-288</v>
      </c>
      <c r="S35" s="294">
        <f t="shared" si="14"/>
        <v>167000.40268173278</v>
      </c>
      <c r="T35" s="295"/>
      <c r="U35" s="292"/>
      <c r="V35" s="292">
        <f>S35+T35</f>
        <v>167000.40268173278</v>
      </c>
      <c r="W35" s="296">
        <f t="shared" si="2"/>
        <v>2076.7912134265644</v>
      </c>
      <c r="X35" s="297">
        <f t="shared" si="15"/>
        <v>101.01602188354826</v>
      </c>
      <c r="Y35" s="109"/>
      <c r="Z35" s="226"/>
      <c r="AA35" s="131"/>
      <c r="AB35" s="226"/>
      <c r="AC35" s="131"/>
      <c r="AD35" s="298"/>
      <c r="AE35" s="226"/>
      <c r="AF35" s="226"/>
      <c r="AG35" s="226"/>
      <c r="AH35" s="226"/>
      <c r="AI35" s="226"/>
      <c r="AJ35" s="226"/>
      <c r="AK35" s="226"/>
      <c r="AO35" s="88"/>
      <c r="AP35" s="7"/>
      <c r="AQ35" s="7"/>
      <c r="AR35" s="7"/>
      <c r="AS35" s="7"/>
      <c r="AT35" s="7"/>
      <c r="AU35" s="88"/>
      <c r="AV35" s="226"/>
    </row>
    <row r="36" spans="1:48" s="269" customFormat="1" ht="10.5" customHeight="1">
      <c r="A36" s="288"/>
      <c r="B36" s="289" t="s">
        <v>83</v>
      </c>
      <c r="C36" s="290"/>
      <c r="D36" s="291"/>
      <c r="E36" s="177">
        <f>'[2]2011 tulud'!$E36/15.6466</f>
        <v>0</v>
      </c>
      <c r="F36" s="178">
        <f>'[2]2011 tulud'!F36/15.6466</f>
        <v>0</v>
      </c>
      <c r="G36" s="179">
        <f>'[2]2011 tulud'!G36/15.6466</f>
        <v>0</v>
      </c>
      <c r="H36" s="179">
        <f>'[2]2011 tulud'!H36/15.6466</f>
        <v>0</v>
      </c>
      <c r="I36" s="180">
        <f>'[2]2011 tulud'!I36/15.6466</f>
        <v>75415.7452737336</v>
      </c>
      <c r="J36" s="299"/>
      <c r="K36" s="292"/>
      <c r="L36" s="292"/>
      <c r="M36" s="300"/>
      <c r="N36" s="183">
        <f t="shared" si="0"/>
        <v>75415.7452737336</v>
      </c>
      <c r="O36" s="284">
        <f t="shared" si="13"/>
        <v>0</v>
      </c>
      <c r="P36" s="292"/>
      <c r="Q36" s="292">
        <v>0</v>
      </c>
      <c r="R36" s="300"/>
      <c r="S36" s="294">
        <f>N36+O36</f>
        <v>75415.7452737336</v>
      </c>
      <c r="T36" s="295"/>
      <c r="U36" s="292"/>
      <c r="V36" s="292"/>
      <c r="W36" s="296"/>
      <c r="X36" s="297"/>
      <c r="Y36" s="109"/>
      <c r="Z36" s="226"/>
      <c r="AA36" s="131"/>
      <c r="AB36" s="226"/>
      <c r="AC36" s="131"/>
      <c r="AD36" s="298"/>
      <c r="AE36" s="226"/>
      <c r="AF36" s="226"/>
      <c r="AG36" s="226"/>
      <c r="AH36" s="226"/>
      <c r="AI36" s="226"/>
      <c r="AJ36" s="226"/>
      <c r="AK36" s="226"/>
      <c r="AO36" s="88"/>
      <c r="AP36" s="7"/>
      <c r="AQ36" s="7"/>
      <c r="AR36" s="7"/>
      <c r="AS36" s="7"/>
      <c r="AT36" s="7"/>
      <c r="AU36" s="88"/>
      <c r="AV36" s="226"/>
    </row>
    <row r="37" spans="1:48" s="269" customFormat="1" ht="10.5" customHeight="1">
      <c r="A37" s="288"/>
      <c r="B37" s="289" t="s">
        <v>84</v>
      </c>
      <c r="C37" s="290"/>
      <c r="D37" s="291"/>
      <c r="E37" s="177">
        <f>'[2]2011 tulud'!$E37/15.6466</f>
        <v>0</v>
      </c>
      <c r="F37" s="178">
        <f>'[2]2011 tulud'!F37/15.6466</f>
        <v>0</v>
      </c>
      <c r="G37" s="179">
        <f>'[2]2011 tulud'!G37/15.6466</f>
        <v>0</v>
      </c>
      <c r="H37" s="179">
        <f>'[2]2011 tulud'!H37/15.6466</f>
        <v>0</v>
      </c>
      <c r="I37" s="180">
        <f>'[2]2011 tulud'!I37/15.6466</f>
        <v>52727.110043076456</v>
      </c>
      <c r="J37" s="301"/>
      <c r="K37" s="302"/>
      <c r="L37" s="302"/>
      <c r="M37" s="303"/>
      <c r="N37" s="183">
        <f t="shared" si="0"/>
        <v>52727.110043076456</v>
      </c>
      <c r="O37" s="284">
        <f t="shared" si="13"/>
        <v>0</v>
      </c>
      <c r="P37" s="302"/>
      <c r="Q37" s="302">
        <v>0</v>
      </c>
      <c r="R37" s="303"/>
      <c r="S37" s="294">
        <f aca="true" t="shared" si="16" ref="S37:S60">N37+O37</f>
        <v>52727.110043076456</v>
      </c>
      <c r="T37" s="295"/>
      <c r="U37" s="292"/>
      <c r="V37" s="292"/>
      <c r="W37" s="296"/>
      <c r="X37" s="297"/>
      <c r="Y37" s="109"/>
      <c r="Z37" s="226"/>
      <c r="AA37" s="131"/>
      <c r="AB37" s="226"/>
      <c r="AC37" s="131"/>
      <c r="AD37" s="298"/>
      <c r="AE37" s="226"/>
      <c r="AF37" s="226"/>
      <c r="AG37" s="226"/>
      <c r="AH37" s="226"/>
      <c r="AI37" s="226"/>
      <c r="AJ37" s="226"/>
      <c r="AK37" s="226"/>
      <c r="AO37" s="88"/>
      <c r="AP37" s="7"/>
      <c r="AQ37" s="7"/>
      <c r="AR37" s="7"/>
      <c r="AS37" s="7"/>
      <c r="AT37" s="7"/>
      <c r="AU37" s="88"/>
      <c r="AV37" s="226"/>
    </row>
    <row r="38" spans="1:48" s="269" customFormat="1" ht="10.5" customHeight="1">
      <c r="A38" s="288"/>
      <c r="B38" s="289" t="s">
        <v>85</v>
      </c>
      <c r="C38" s="290"/>
      <c r="D38" s="291"/>
      <c r="E38" s="177">
        <f>'[2]2011 tulud'!$E38/15.6466</f>
        <v>0</v>
      </c>
      <c r="F38" s="178">
        <f>'[2]2011 tulud'!F38/15.6466</f>
        <v>0</v>
      </c>
      <c r="G38" s="179">
        <f>'[2]2011 tulud'!G38/15.6466</f>
        <v>0</v>
      </c>
      <c r="H38" s="179">
        <f>'[2]2011 tulud'!H38/15.6466</f>
        <v>0</v>
      </c>
      <c r="I38" s="180">
        <f>'[2]2011 tulud'!I38/15.6466</f>
        <v>38666.547364922735</v>
      </c>
      <c r="J38" s="301">
        <f>K38+L38+M38</f>
        <v>479</v>
      </c>
      <c r="K38" s="302"/>
      <c r="L38" s="302"/>
      <c r="M38" s="303">
        <f>191+288</f>
        <v>479</v>
      </c>
      <c r="N38" s="183">
        <f t="shared" si="0"/>
        <v>39145.547364922735</v>
      </c>
      <c r="O38" s="284">
        <f t="shared" si="13"/>
        <v>-288</v>
      </c>
      <c r="P38" s="302"/>
      <c r="Q38" s="302">
        <v>0</v>
      </c>
      <c r="R38" s="304">
        <v>-288</v>
      </c>
      <c r="S38" s="294">
        <f t="shared" si="16"/>
        <v>38857.547364922735</v>
      </c>
      <c r="T38" s="295"/>
      <c r="U38" s="292"/>
      <c r="V38" s="292"/>
      <c r="W38" s="296"/>
      <c r="X38" s="297"/>
      <c r="Y38" s="109"/>
      <c r="Z38" s="226"/>
      <c r="AA38" s="131"/>
      <c r="AB38" s="226"/>
      <c r="AC38" s="131"/>
      <c r="AD38" s="298"/>
      <c r="AE38" s="226"/>
      <c r="AF38" s="226"/>
      <c r="AG38" s="226"/>
      <c r="AH38" s="226"/>
      <c r="AI38" s="226"/>
      <c r="AJ38" s="226"/>
      <c r="AK38" s="226"/>
      <c r="AO38" s="88"/>
      <c r="AP38" s="7"/>
      <c r="AQ38" s="7"/>
      <c r="AR38" s="7"/>
      <c r="AS38" s="7"/>
      <c r="AT38" s="7"/>
      <c r="AU38" s="88"/>
      <c r="AV38" s="226"/>
    </row>
    <row r="39" spans="1:48" s="269" customFormat="1" ht="10.5" customHeight="1">
      <c r="A39" s="288" t="s">
        <v>86</v>
      </c>
      <c r="B39" s="289" t="s">
        <v>87</v>
      </c>
      <c r="C39" s="290">
        <v>1409000</v>
      </c>
      <c r="D39" s="291">
        <v>1500000</v>
      </c>
      <c r="E39" s="177">
        <f>'[2]2011 tulud'!$E39/15.6466</f>
        <v>141883.85975227845</v>
      </c>
      <c r="F39" s="178">
        <f>'[2]2011 tulud'!F39/15.6466</f>
        <v>150767.57889893014</v>
      </c>
      <c r="G39" s="179">
        <f>'[2]2011 tulud'!G39/15.6466</f>
        <v>147635.90812061407</v>
      </c>
      <c r="H39" s="179">
        <f>'[2]2011 tulud'!H39/15.6466</f>
        <v>147635.90812061407</v>
      </c>
      <c r="I39" s="180">
        <f>'[2]2011 tulud'!I39/15.6466</f>
        <v>148914.14109135533</v>
      </c>
      <c r="J39" s="305">
        <f>K39+L39+M39</f>
        <v>20246</v>
      </c>
      <c r="K39" s="302"/>
      <c r="L39" s="302"/>
      <c r="M39" s="306">
        <f>M41+M42+M43</f>
        <v>20246</v>
      </c>
      <c r="N39" s="183">
        <f t="shared" si="0"/>
        <v>169160.14109135533</v>
      </c>
      <c r="O39" s="284">
        <f t="shared" si="13"/>
        <v>4700</v>
      </c>
      <c r="P39" s="302"/>
      <c r="Q39" s="306">
        <f>Q41+Q42+Q43</f>
        <v>0</v>
      </c>
      <c r="R39" s="306">
        <f>R41+R42+R43</f>
        <v>4700</v>
      </c>
      <c r="S39" s="294">
        <f t="shared" si="16"/>
        <v>173860.14109135533</v>
      </c>
      <c r="T39" s="295"/>
      <c r="U39" s="292"/>
      <c r="V39" s="292">
        <f>S39+T39</f>
        <v>173860.14109135533</v>
      </c>
      <c r="W39" s="296">
        <f t="shared" si="2"/>
        <v>21524.232970741257</v>
      </c>
      <c r="X39" s="297">
        <f t="shared" si="15"/>
        <v>104.05405405405406</v>
      </c>
      <c r="Y39" s="109"/>
      <c r="Z39" s="110"/>
      <c r="AA39" s="110"/>
      <c r="AB39" s="110"/>
      <c r="AC39" s="298"/>
      <c r="AD39" s="111"/>
      <c r="AE39" s="226"/>
      <c r="AF39" s="226"/>
      <c r="AG39" s="226"/>
      <c r="AH39" s="226"/>
      <c r="AI39" s="226"/>
      <c r="AJ39" s="226"/>
      <c r="AK39" s="226"/>
      <c r="AO39" s="88"/>
      <c r="AP39" s="7"/>
      <c r="AQ39" s="7"/>
      <c r="AR39" s="7"/>
      <c r="AS39" s="7"/>
      <c r="AT39" s="7"/>
      <c r="AU39" s="88"/>
      <c r="AV39" s="226"/>
    </row>
    <row r="40" spans="1:48" s="269" customFormat="1" ht="10.5" customHeight="1" hidden="1" thickBot="1">
      <c r="A40" s="288" t="s">
        <v>88</v>
      </c>
      <c r="B40" s="289" t="s">
        <v>89</v>
      </c>
      <c r="C40" s="290"/>
      <c r="D40" s="291"/>
      <c r="E40" s="177">
        <f>'[2]2011 tulud'!$E40/15.6466</f>
        <v>0</v>
      </c>
      <c r="F40" s="178">
        <f>'[2]2011 tulud'!F40/15.6466</f>
        <v>0</v>
      </c>
      <c r="G40" s="179">
        <f>'[2]2011 tulud'!G40/15.6466</f>
        <v>0</v>
      </c>
      <c r="H40" s="179">
        <f>'[2]2011 tulud'!H40/15.6466</f>
        <v>0</v>
      </c>
      <c r="I40" s="180">
        <f>'[2]2011 tulud'!I40/15.6466</f>
        <v>0</v>
      </c>
      <c r="J40" s="301"/>
      <c r="K40" s="302"/>
      <c r="L40" s="302"/>
      <c r="M40" s="302"/>
      <c r="N40" s="183">
        <f t="shared" si="0"/>
        <v>0</v>
      </c>
      <c r="O40" s="284">
        <f t="shared" si="13"/>
        <v>0</v>
      </c>
      <c r="P40" s="302"/>
      <c r="Q40" s="302"/>
      <c r="R40" s="302"/>
      <c r="S40" s="294">
        <f t="shared" si="16"/>
        <v>0</v>
      </c>
      <c r="T40" s="295"/>
      <c r="U40" s="292"/>
      <c r="V40" s="292"/>
      <c r="W40" s="296">
        <f t="shared" si="2"/>
        <v>0</v>
      </c>
      <c r="X40" s="297" t="e">
        <f t="shared" si="15"/>
        <v>#DIV/0!</v>
      </c>
      <c r="Y40" s="109"/>
      <c r="Z40" s="110"/>
      <c r="AA40" s="110"/>
      <c r="AB40" s="110"/>
      <c r="AC40" s="298"/>
      <c r="AD40" s="111"/>
      <c r="AE40" s="226"/>
      <c r="AF40" s="226"/>
      <c r="AG40" s="226"/>
      <c r="AH40" s="226"/>
      <c r="AI40" s="226"/>
      <c r="AJ40" s="226"/>
      <c r="AK40" s="226"/>
      <c r="AO40" s="88"/>
      <c r="AP40" s="7"/>
      <c r="AQ40" s="7"/>
      <c r="AR40" s="7"/>
      <c r="AS40" s="7"/>
      <c r="AT40" s="7"/>
      <c r="AU40" s="88"/>
      <c r="AV40" s="226"/>
    </row>
    <row r="41" spans="1:48" s="269" customFormat="1" ht="10.5" customHeight="1">
      <c r="A41" s="288"/>
      <c r="B41" s="289" t="s">
        <v>83</v>
      </c>
      <c r="C41" s="290"/>
      <c r="D41" s="291"/>
      <c r="E41" s="177">
        <f>'[2]2011 tulud'!$E41/15.6466</f>
        <v>0</v>
      </c>
      <c r="F41" s="178">
        <f>'[2]2011 tulud'!F41/15.6466</f>
        <v>0</v>
      </c>
      <c r="G41" s="179">
        <f>'[2]2011 tulud'!G41/15.6466</f>
        <v>0</v>
      </c>
      <c r="H41" s="179">
        <f>'[2]2011 tulud'!H41/15.6466</f>
        <v>0</v>
      </c>
      <c r="I41" s="180">
        <f>'[2]2011 tulud'!I41/15.6466</f>
        <v>69663.69690539798</v>
      </c>
      <c r="J41" s="307">
        <f>K41+L41+M41</f>
        <v>8695</v>
      </c>
      <c r="K41" s="302"/>
      <c r="L41" s="302"/>
      <c r="M41" s="302">
        <v>8695</v>
      </c>
      <c r="N41" s="183">
        <f t="shared" si="0"/>
        <v>78358.69690539798</v>
      </c>
      <c r="O41" s="284">
        <f t="shared" si="13"/>
        <v>1500</v>
      </c>
      <c r="P41" s="302"/>
      <c r="Q41" s="302">
        <v>0</v>
      </c>
      <c r="R41" s="302">
        <v>1500</v>
      </c>
      <c r="S41" s="294">
        <f t="shared" si="16"/>
        <v>79858.69690539798</v>
      </c>
      <c r="T41" s="295"/>
      <c r="U41" s="292"/>
      <c r="V41" s="292"/>
      <c r="W41" s="296"/>
      <c r="X41" s="297"/>
      <c r="Y41" s="109"/>
      <c r="Z41" s="110"/>
      <c r="AA41" s="110"/>
      <c r="AB41" s="110"/>
      <c r="AC41" s="298"/>
      <c r="AD41" s="111"/>
      <c r="AE41" s="226"/>
      <c r="AF41" s="226"/>
      <c r="AG41" s="226"/>
      <c r="AH41" s="226"/>
      <c r="AI41" s="226"/>
      <c r="AJ41" s="226"/>
      <c r="AK41" s="226"/>
      <c r="AO41" s="88"/>
      <c r="AP41" s="7"/>
      <c r="AQ41" s="7"/>
      <c r="AR41" s="7"/>
      <c r="AS41" s="7"/>
      <c r="AT41" s="7"/>
      <c r="AU41" s="88"/>
      <c r="AV41" s="226"/>
    </row>
    <row r="42" spans="1:48" s="269" customFormat="1" ht="10.5" customHeight="1">
      <c r="A42" s="288"/>
      <c r="B42" s="289" t="s">
        <v>84</v>
      </c>
      <c r="C42" s="290"/>
      <c r="D42" s="291"/>
      <c r="E42" s="177">
        <f>'[2]2011 tulud'!$E42/15.6466</f>
        <v>0</v>
      </c>
      <c r="F42" s="178">
        <f>'[2]2011 tulud'!F42/15.6466</f>
        <v>0</v>
      </c>
      <c r="G42" s="179">
        <f>'[2]2011 tulud'!G42/15.6466</f>
        <v>0</v>
      </c>
      <c r="H42" s="179">
        <f>'[2]2011 tulud'!H42/15.6466</f>
        <v>0</v>
      </c>
      <c r="I42" s="180">
        <f>'[2]2011 tulud'!I42/15.6466</f>
        <v>44738.15397594366</v>
      </c>
      <c r="J42" s="307">
        <f aca="true" t="shared" si="17" ref="J42:J47">K42+L42+M42</f>
        <v>6300</v>
      </c>
      <c r="K42" s="302"/>
      <c r="L42" s="302"/>
      <c r="M42" s="302">
        <v>6300</v>
      </c>
      <c r="N42" s="183">
        <f t="shared" si="0"/>
        <v>51038.15397594366</v>
      </c>
      <c r="O42" s="284">
        <f t="shared" si="13"/>
        <v>2200</v>
      </c>
      <c r="P42" s="302"/>
      <c r="Q42" s="302">
        <v>0</v>
      </c>
      <c r="R42" s="302">
        <v>2200</v>
      </c>
      <c r="S42" s="294">
        <f t="shared" si="16"/>
        <v>53238.15397594366</v>
      </c>
      <c r="T42" s="295"/>
      <c r="U42" s="292"/>
      <c r="V42" s="292"/>
      <c r="W42" s="296"/>
      <c r="X42" s="297"/>
      <c r="Y42" s="109"/>
      <c r="Z42" s="110"/>
      <c r="AA42" s="110"/>
      <c r="AB42" s="110"/>
      <c r="AC42" s="298"/>
      <c r="AD42" s="111"/>
      <c r="AE42" s="226"/>
      <c r="AF42" s="226"/>
      <c r="AG42" s="226"/>
      <c r="AH42" s="226"/>
      <c r="AI42" s="226"/>
      <c r="AJ42" s="226"/>
      <c r="AK42" s="226"/>
      <c r="AO42" s="88"/>
      <c r="AP42" s="7"/>
      <c r="AQ42" s="7"/>
      <c r="AR42" s="7"/>
      <c r="AS42" s="7"/>
      <c r="AT42" s="7"/>
      <c r="AU42" s="88"/>
      <c r="AV42" s="226"/>
    </row>
    <row r="43" spans="1:48" s="269" customFormat="1" ht="10.5" customHeight="1">
      <c r="A43" s="288"/>
      <c r="B43" s="289" t="s">
        <v>85</v>
      </c>
      <c r="C43" s="290"/>
      <c r="D43" s="291"/>
      <c r="E43" s="177">
        <f>'[2]2011 tulud'!$E43/15.6466</f>
        <v>0</v>
      </c>
      <c r="F43" s="178">
        <f>'[2]2011 tulud'!F43/15.6466</f>
        <v>0</v>
      </c>
      <c r="G43" s="179">
        <f>'[2]2011 tulud'!G43/15.6466</f>
        <v>0</v>
      </c>
      <c r="H43" s="179">
        <f>'[2]2011 tulud'!H43/15.6466</f>
        <v>0</v>
      </c>
      <c r="I43" s="180">
        <f>'[2]2011 tulud'!I43/15.6466</f>
        <v>34512.29021001368</v>
      </c>
      <c r="J43" s="307">
        <f t="shared" si="17"/>
        <v>5251</v>
      </c>
      <c r="K43" s="302"/>
      <c r="L43" s="302"/>
      <c r="M43" s="302">
        <v>5251</v>
      </c>
      <c r="N43" s="183">
        <f t="shared" si="0"/>
        <v>39763.29021001368</v>
      </c>
      <c r="O43" s="284">
        <f t="shared" si="13"/>
        <v>1000</v>
      </c>
      <c r="P43" s="302"/>
      <c r="Q43" s="302">
        <v>0</v>
      </c>
      <c r="R43" s="308">
        <v>1000</v>
      </c>
      <c r="S43" s="294">
        <f t="shared" si="16"/>
        <v>40763.29021001368</v>
      </c>
      <c r="T43" s="295"/>
      <c r="U43" s="292"/>
      <c r="V43" s="292"/>
      <c r="W43" s="296"/>
      <c r="X43" s="297"/>
      <c r="Y43" s="109"/>
      <c r="Z43" s="110"/>
      <c r="AA43" s="110"/>
      <c r="AB43" s="110"/>
      <c r="AC43" s="298"/>
      <c r="AD43" s="111"/>
      <c r="AE43" s="226"/>
      <c r="AF43" s="226"/>
      <c r="AG43" s="226"/>
      <c r="AH43" s="226"/>
      <c r="AI43" s="226"/>
      <c r="AJ43" s="226"/>
      <c r="AK43" s="226"/>
      <c r="AO43" s="88"/>
      <c r="AP43" s="7"/>
      <c r="AQ43" s="7"/>
      <c r="AR43" s="7"/>
      <c r="AS43" s="7"/>
      <c r="AT43" s="7"/>
      <c r="AU43" s="88"/>
      <c r="AV43" s="226"/>
    </row>
    <row r="44" spans="1:48" s="269" customFormat="1" ht="10.5" customHeight="1">
      <c r="A44" s="288" t="s">
        <v>90</v>
      </c>
      <c r="B44" s="289" t="s">
        <v>91</v>
      </c>
      <c r="C44" s="290"/>
      <c r="D44" s="291">
        <v>178000</v>
      </c>
      <c r="E44" s="177">
        <f>'[2]2011 tulud'!$E44/15.6466</f>
        <v>12245.471859701149</v>
      </c>
      <c r="F44" s="178">
        <f>'[2]2011 tulud'!F44/15.6466</f>
        <v>13827.029514399295</v>
      </c>
      <c r="G44" s="179">
        <f>'[2]2011 tulud'!G44/15.6466</f>
        <v>8623.854383699974</v>
      </c>
      <c r="H44" s="179">
        <f>'[2]2011 tulud'!H44/15.6466</f>
        <v>1082.2798563266142</v>
      </c>
      <c r="I44" s="180">
        <f>'[2]2011 tulud'!I44/15.6466</f>
        <v>1337.9264504748637</v>
      </c>
      <c r="J44" s="305">
        <f>K44+L44+M44</f>
        <v>1472</v>
      </c>
      <c r="K44" s="302"/>
      <c r="L44" s="302"/>
      <c r="M44" s="309">
        <f>SUM(M45:M47)</f>
        <v>1472</v>
      </c>
      <c r="N44" s="283">
        <f t="shared" si="0"/>
        <v>2809.9264504748635</v>
      </c>
      <c r="O44" s="284">
        <f t="shared" si="13"/>
        <v>1578</v>
      </c>
      <c r="P44" s="302"/>
      <c r="Q44" s="309">
        <f>SUM(Q45:Q47)</f>
        <v>0</v>
      </c>
      <c r="R44" s="309">
        <f>SUM(R45:R47)</f>
        <v>1578</v>
      </c>
      <c r="S44" s="294">
        <f t="shared" si="16"/>
        <v>4387.9264504748635</v>
      </c>
      <c r="T44" s="295"/>
      <c r="U44" s="292"/>
      <c r="V44" s="292">
        <f>S44+T44</f>
        <v>4387.9264504748635</v>
      </c>
      <c r="W44" s="296">
        <f t="shared" si="2"/>
        <v>-5813.927933225111</v>
      </c>
      <c r="X44" s="297">
        <f t="shared" si="15"/>
        <v>70.4248434237996</v>
      </c>
      <c r="Z44" s="110"/>
      <c r="AA44" s="109"/>
      <c r="AB44" s="110"/>
      <c r="AC44" s="110"/>
      <c r="AD44" s="111"/>
      <c r="AE44" s="226"/>
      <c r="AF44" s="226"/>
      <c r="AG44" s="226"/>
      <c r="AH44" s="226"/>
      <c r="AI44" s="226"/>
      <c r="AJ44" s="226"/>
      <c r="AK44" s="226"/>
      <c r="AO44" s="310"/>
      <c r="AP44" s="311"/>
      <c r="AQ44" s="311"/>
      <c r="AR44" s="311"/>
      <c r="AS44" s="311"/>
      <c r="AT44" s="6"/>
      <c r="AU44" s="88"/>
      <c r="AV44" s="226"/>
    </row>
    <row r="45" spans="1:48" s="269" customFormat="1" ht="10.5" customHeight="1">
      <c r="A45" s="288"/>
      <c r="B45" s="289" t="s">
        <v>92</v>
      </c>
      <c r="C45" s="290"/>
      <c r="D45" s="291"/>
      <c r="E45" s="177">
        <f>'[2]2011 tulud'!$E45/15.6466</f>
        <v>0</v>
      </c>
      <c r="F45" s="178">
        <f>'[2]2011 tulud'!F45/15.6466</f>
        <v>0</v>
      </c>
      <c r="G45" s="179">
        <f>'[2]2011 tulud'!G45/15.6466</f>
        <v>0</v>
      </c>
      <c r="H45" s="179">
        <f>'[2]2011 tulud'!H45/15.6466</f>
        <v>0</v>
      </c>
      <c r="I45" s="180">
        <f>'[2]2011 tulud'!I45/15.6466</f>
        <v>1082.2798563266142</v>
      </c>
      <c r="J45" s="307">
        <f t="shared" si="17"/>
        <v>272</v>
      </c>
      <c r="K45" s="302"/>
      <c r="L45" s="302"/>
      <c r="M45" s="312">
        <v>272</v>
      </c>
      <c r="N45" s="283">
        <f t="shared" si="0"/>
        <v>1354.2798563266142</v>
      </c>
      <c r="O45" s="284">
        <f t="shared" si="13"/>
        <v>300</v>
      </c>
      <c r="P45" s="302"/>
      <c r="Q45" s="302"/>
      <c r="R45" s="312">
        <v>300</v>
      </c>
      <c r="S45" s="294">
        <f t="shared" si="16"/>
        <v>1654.2798563266142</v>
      </c>
      <c r="T45" s="295"/>
      <c r="U45" s="292"/>
      <c r="V45" s="292"/>
      <c r="W45" s="296"/>
      <c r="X45" s="297"/>
      <c r="Z45" s="110"/>
      <c r="AA45" s="109"/>
      <c r="AB45" s="110"/>
      <c r="AC45" s="110"/>
      <c r="AD45" s="111"/>
      <c r="AE45" s="226"/>
      <c r="AF45" s="226"/>
      <c r="AG45" s="226"/>
      <c r="AH45" s="226"/>
      <c r="AI45" s="226"/>
      <c r="AJ45" s="226"/>
      <c r="AK45" s="226"/>
      <c r="AO45" s="310"/>
      <c r="AP45" s="311"/>
      <c r="AQ45" s="311"/>
      <c r="AR45" s="311"/>
      <c r="AS45" s="311"/>
      <c r="AT45" s="6"/>
      <c r="AU45" s="88"/>
      <c r="AV45" s="226"/>
    </row>
    <row r="46" spans="1:48" s="269" customFormat="1" ht="10.5" customHeight="1">
      <c r="A46" s="288"/>
      <c r="B46" s="289" t="s">
        <v>93</v>
      </c>
      <c r="C46" s="290"/>
      <c r="D46" s="291"/>
      <c r="E46" s="177">
        <f>'[2]2011 tulud'!$E46/15.6466</f>
        <v>0</v>
      </c>
      <c r="F46" s="178">
        <f>'[2]2011 tulud'!F46/15.6466</f>
        <v>0</v>
      </c>
      <c r="G46" s="179">
        <f>'[2]2011 tulud'!G46/15.6466</f>
        <v>0</v>
      </c>
      <c r="H46" s="179">
        <f>'[2]2011 tulud'!H46/15.6466</f>
        <v>0</v>
      </c>
      <c r="I46" s="180">
        <f>'[2]2011 tulud'!I46/15.6466</f>
        <v>255.64659414824948</v>
      </c>
      <c r="J46" s="307">
        <f t="shared" si="17"/>
        <v>144</v>
      </c>
      <c r="K46" s="302"/>
      <c r="L46" s="302"/>
      <c r="M46" s="312">
        <v>144</v>
      </c>
      <c r="N46" s="283">
        <f t="shared" si="0"/>
        <v>399.6465941482495</v>
      </c>
      <c r="O46" s="313"/>
      <c r="P46" s="302"/>
      <c r="Q46" s="302"/>
      <c r="R46" s="312"/>
      <c r="S46" s="294">
        <f t="shared" si="16"/>
        <v>399.6465941482495</v>
      </c>
      <c r="T46" s="295"/>
      <c r="U46" s="292"/>
      <c r="V46" s="292"/>
      <c r="W46" s="296"/>
      <c r="X46" s="297"/>
      <c r="Z46" s="110"/>
      <c r="AA46" s="109"/>
      <c r="AB46" s="110"/>
      <c r="AC46" s="110"/>
      <c r="AD46" s="111"/>
      <c r="AE46" s="226"/>
      <c r="AF46" s="226"/>
      <c r="AG46" s="226"/>
      <c r="AH46" s="226"/>
      <c r="AI46" s="226"/>
      <c r="AJ46" s="226"/>
      <c r="AK46" s="226"/>
      <c r="AO46" s="310"/>
      <c r="AP46" s="311"/>
      <c r="AQ46" s="311"/>
      <c r="AR46" s="311"/>
      <c r="AS46" s="311"/>
      <c r="AT46" s="6"/>
      <c r="AU46" s="88"/>
      <c r="AV46" s="226"/>
    </row>
    <row r="47" spans="1:48" s="269" customFormat="1" ht="10.5" customHeight="1">
      <c r="A47" s="288"/>
      <c r="B47" s="289" t="s">
        <v>94</v>
      </c>
      <c r="C47" s="290"/>
      <c r="D47" s="291"/>
      <c r="E47" s="177"/>
      <c r="F47" s="178"/>
      <c r="G47" s="179"/>
      <c r="H47" s="179"/>
      <c r="I47" s="180"/>
      <c r="J47" s="307">
        <f t="shared" si="17"/>
        <v>1056</v>
      </c>
      <c r="K47" s="302"/>
      <c r="L47" s="302"/>
      <c r="M47" s="312">
        <v>1056</v>
      </c>
      <c r="N47" s="283"/>
      <c r="O47" s="284"/>
      <c r="P47" s="302"/>
      <c r="Q47" s="302"/>
      <c r="R47" s="314">
        <v>1278</v>
      </c>
      <c r="S47" s="294">
        <f t="shared" si="16"/>
        <v>0</v>
      </c>
      <c r="T47" s="295"/>
      <c r="U47" s="292"/>
      <c r="V47" s="292"/>
      <c r="W47" s="296"/>
      <c r="X47" s="297"/>
      <c r="Z47" s="110"/>
      <c r="AA47" s="109"/>
      <c r="AB47" s="110"/>
      <c r="AC47" s="110"/>
      <c r="AD47" s="111"/>
      <c r="AE47" s="226"/>
      <c r="AF47" s="226"/>
      <c r="AG47" s="226"/>
      <c r="AH47" s="226"/>
      <c r="AI47" s="226"/>
      <c r="AJ47" s="226"/>
      <c r="AK47" s="226"/>
      <c r="AO47" s="310"/>
      <c r="AP47" s="311"/>
      <c r="AQ47" s="311"/>
      <c r="AR47" s="311"/>
      <c r="AS47" s="311"/>
      <c r="AT47" s="6"/>
      <c r="AU47" s="88"/>
      <c r="AV47" s="226"/>
    </row>
    <row r="48" spans="1:48" s="269" customFormat="1" ht="10.5" customHeight="1">
      <c r="A48" s="288" t="s">
        <v>95</v>
      </c>
      <c r="B48" s="289" t="s">
        <v>96</v>
      </c>
      <c r="C48" s="290">
        <v>100000</v>
      </c>
      <c r="D48" s="315">
        <v>4000000</v>
      </c>
      <c r="E48" s="177">
        <f>'[2]2011 tulud'!$E47/15.6466</f>
        <v>319558.2426853118</v>
      </c>
      <c r="F48" s="178">
        <f>'[2]2011 tulud'!F47/15.6466</f>
        <v>319558.2426853118</v>
      </c>
      <c r="G48" s="179">
        <f>'[2]2011 tulud'!G47/15.6466</f>
        <v>255646.59414824948</v>
      </c>
      <c r="H48" s="179">
        <f>'[2]2011 tulud'!H47/15.6466</f>
        <v>255646.59414824948</v>
      </c>
      <c r="I48" s="180">
        <f>'[2]2011 tulud'!I47/15.6466</f>
        <v>255646.59414824948</v>
      </c>
      <c r="J48" s="301"/>
      <c r="K48" s="302"/>
      <c r="L48" s="302"/>
      <c r="M48" s="312"/>
      <c r="N48" s="283">
        <f t="shared" si="0"/>
        <v>255646.59414824948</v>
      </c>
      <c r="O48" s="284">
        <f>P48+Q48+R48</f>
        <v>62900</v>
      </c>
      <c r="P48" s="302"/>
      <c r="Q48" s="302"/>
      <c r="R48" s="312">
        <v>62900</v>
      </c>
      <c r="S48" s="294">
        <f t="shared" si="16"/>
        <v>318546.5941482495</v>
      </c>
      <c r="T48" s="295"/>
      <c r="U48" s="292"/>
      <c r="V48" s="292">
        <f>S48+T48</f>
        <v>318546.5941482495</v>
      </c>
      <c r="W48" s="296">
        <f t="shared" si="2"/>
        <v>0</v>
      </c>
      <c r="X48" s="297">
        <f t="shared" si="15"/>
        <v>80</v>
      </c>
      <c r="Y48" s="109"/>
      <c r="Z48" s="226"/>
      <c r="AA48" s="110"/>
      <c r="AB48" s="110"/>
      <c r="AC48" s="110"/>
      <c r="AD48" s="111"/>
      <c r="AE48" s="226"/>
      <c r="AF48" s="226"/>
      <c r="AG48" s="226"/>
      <c r="AH48" s="226"/>
      <c r="AI48" s="298"/>
      <c r="AJ48" s="226"/>
      <c r="AK48" s="226"/>
      <c r="AO48" s="88"/>
      <c r="AP48" s="7"/>
      <c r="AQ48" s="7"/>
      <c r="AR48" s="7"/>
      <c r="AS48" s="7"/>
      <c r="AT48" s="7"/>
      <c r="AU48" s="88"/>
      <c r="AV48" s="226"/>
    </row>
    <row r="49" spans="1:48" s="269" customFormat="1" ht="10.5" customHeight="1">
      <c r="A49" s="316" t="s">
        <v>97</v>
      </c>
      <c r="B49" s="317" t="s">
        <v>98</v>
      </c>
      <c r="C49" s="318">
        <v>2700000</v>
      </c>
      <c r="D49" s="195">
        <v>453000</v>
      </c>
      <c r="E49" s="177">
        <f>'[2]2011 tulud'!$E48/15.6466</f>
        <v>31955.824268531185</v>
      </c>
      <c r="F49" s="178">
        <f>'[2]2011 tulud'!F48/15.6466</f>
        <v>32198.68853297202</v>
      </c>
      <c r="G49" s="179">
        <f>'[2]2011 tulud'!G48/15.6466</f>
        <v>32914.49899658712</v>
      </c>
      <c r="H49" s="179">
        <f>'[2]2011 tulud'!H48/15.6466</f>
        <v>32211.470862679435</v>
      </c>
      <c r="I49" s="180">
        <f>'[2]2011 tulud'!I48/15.6466</f>
        <v>37963.519231015045</v>
      </c>
      <c r="J49" s="305">
        <f>SUM(J50:J60)</f>
        <v>4215</v>
      </c>
      <c r="K49" s="201">
        <f>SUM(K50:K53)</f>
        <v>0</v>
      </c>
      <c r="L49" s="201">
        <f>SUM(L50:L53)</f>
        <v>0</v>
      </c>
      <c r="M49" s="201">
        <f>SUM(M50:M60)</f>
        <v>4215</v>
      </c>
      <c r="N49" s="283">
        <f t="shared" si="0"/>
        <v>42178.519231015045</v>
      </c>
      <c r="O49" s="319">
        <f>SUM(O50:O54)</f>
        <v>12585</v>
      </c>
      <c r="P49" s="201">
        <f>SUM(P50:P53)</f>
        <v>0</v>
      </c>
      <c r="Q49" s="201">
        <f>SUM(Q50:Q53)</f>
        <v>0</v>
      </c>
      <c r="R49" s="201">
        <f>SUM(R50:R60)</f>
        <v>12585</v>
      </c>
      <c r="S49" s="320">
        <f t="shared" si="16"/>
        <v>54763.519231015045</v>
      </c>
      <c r="T49" s="224">
        <f>SUM(T50:T53)</f>
        <v>0</v>
      </c>
      <c r="U49" s="164">
        <f>SUM(U50:U53)</f>
        <v>0</v>
      </c>
      <c r="V49" s="164"/>
      <c r="W49" s="296">
        <f t="shared" si="2"/>
        <v>9264.020234427924</v>
      </c>
      <c r="X49" s="297">
        <f t="shared" si="15"/>
        <v>103</v>
      </c>
      <c r="Y49" s="109"/>
      <c r="Z49" s="321"/>
      <c r="AA49" s="110"/>
      <c r="AB49" s="110"/>
      <c r="AC49" s="226"/>
      <c r="AD49" s="7"/>
      <c r="AE49" s="131"/>
      <c r="AF49" s="226"/>
      <c r="AG49" s="226"/>
      <c r="AH49" s="226"/>
      <c r="AI49" s="226"/>
      <c r="AJ49" s="131"/>
      <c r="AK49" s="226"/>
      <c r="AO49" s="88"/>
      <c r="AP49" s="7"/>
      <c r="AQ49" s="7"/>
      <c r="AR49" s="7"/>
      <c r="AS49" s="7"/>
      <c r="AT49" s="7"/>
      <c r="AU49" s="88"/>
      <c r="AV49" s="226"/>
    </row>
    <row r="50" spans="1:48" s="269" customFormat="1" ht="10.5" customHeight="1">
      <c r="A50" s="288"/>
      <c r="B50" s="289" t="s">
        <v>99</v>
      </c>
      <c r="C50" s="290">
        <v>543000</v>
      </c>
      <c r="D50" s="291">
        <v>450000</v>
      </c>
      <c r="E50" s="177">
        <f>'[2]2011 tulud'!$E49/15.6466</f>
        <v>28760.241841678064</v>
      </c>
      <c r="F50" s="178">
        <f>'[2]2011 tulud'!F49/15.6466</f>
        <v>28760.241841678064</v>
      </c>
      <c r="G50" s="179">
        <f>'[2]2011 tulud'!G49/15.6466</f>
        <v>29463.26997558575</v>
      </c>
      <c r="H50" s="179">
        <f>'[2]2011 tulud'!H49/15.6466</f>
        <v>28760.241841678064</v>
      </c>
      <c r="I50" s="180">
        <f>'[2]2011 tulud'!I49/15.6466</f>
        <v>29463.26997558575</v>
      </c>
      <c r="J50" s="307">
        <f>K50+L50+M50</f>
        <v>5200</v>
      </c>
      <c r="K50" s="302"/>
      <c r="L50" s="302"/>
      <c r="M50" s="312">
        <v>5200</v>
      </c>
      <c r="N50" s="283">
        <f t="shared" si="0"/>
        <v>34663.26997558575</v>
      </c>
      <c r="O50" s="284">
        <f>P50+Q50+R50</f>
        <v>10781</v>
      </c>
      <c r="P50" s="302"/>
      <c r="Q50" s="302"/>
      <c r="R50" s="314">
        <v>10781</v>
      </c>
      <c r="S50" s="320">
        <f t="shared" si="16"/>
        <v>45444.26997558575</v>
      </c>
      <c r="T50" s="295"/>
      <c r="U50" s="292"/>
      <c r="V50" s="292">
        <f>S50+T50</f>
        <v>45444.26997558575</v>
      </c>
      <c r="W50" s="296">
        <f t="shared" si="2"/>
        <v>5199.999999999996</v>
      </c>
      <c r="X50" s="297">
        <f t="shared" si="15"/>
        <v>102.44444444444444</v>
      </c>
      <c r="Y50" s="109"/>
      <c r="Z50" s="321"/>
      <c r="AA50" s="110"/>
      <c r="AB50" s="110"/>
      <c r="AC50" s="298"/>
      <c r="AD50" s="7"/>
      <c r="AE50" s="226"/>
      <c r="AF50" s="226"/>
      <c r="AG50" s="226"/>
      <c r="AH50" s="226"/>
      <c r="AI50" s="226"/>
      <c r="AJ50" s="226"/>
      <c r="AK50" s="226"/>
      <c r="AO50" s="310"/>
      <c r="AP50" s="311"/>
      <c r="AQ50" s="311"/>
      <c r="AR50" s="311"/>
      <c r="AS50" s="311"/>
      <c r="AT50" s="6"/>
      <c r="AU50" s="88"/>
      <c r="AV50" s="226"/>
    </row>
    <row r="51" spans="1:48" s="269" customFormat="1" ht="10.5" customHeight="1">
      <c r="A51" s="288"/>
      <c r="B51" s="289" t="s">
        <v>100</v>
      </c>
      <c r="C51" s="290">
        <v>430000</v>
      </c>
      <c r="D51" s="322"/>
      <c r="E51" s="177">
        <f>'[2]2011 tulud'!$E50/15.6466</f>
        <v>2876.0241841678067</v>
      </c>
      <c r="F51" s="178">
        <f>'[2]2011 tulud'!F50/15.6466</f>
        <v>3195.5824268531182</v>
      </c>
      <c r="G51" s="179">
        <f>'[2]2011 tulud'!G50/15.6466</f>
        <v>3195.5824268531182</v>
      </c>
      <c r="H51" s="179">
        <f>'[2]2011 tulud'!H50/15.6466</f>
        <v>3195.5824268531182</v>
      </c>
      <c r="I51" s="180">
        <f>'[2]2011 tulud'!I50/15.6466</f>
        <v>3195.5824268531182</v>
      </c>
      <c r="J51" s="301"/>
      <c r="K51" s="302"/>
      <c r="L51" s="302"/>
      <c r="M51" s="312"/>
      <c r="N51" s="283">
        <f t="shared" si="0"/>
        <v>3195.5824268531182</v>
      </c>
      <c r="O51" s="284">
        <f aca="true" t="shared" si="18" ref="O51:O64">P51+Q51+R51</f>
        <v>1804</v>
      </c>
      <c r="P51" s="302"/>
      <c r="Q51" s="302"/>
      <c r="R51" s="312">
        <v>1804</v>
      </c>
      <c r="S51" s="320">
        <f t="shared" si="16"/>
        <v>4999.582426853118</v>
      </c>
      <c r="T51" s="295"/>
      <c r="U51" s="292"/>
      <c r="V51" s="292">
        <f>S51+T51</f>
        <v>4999.582426853118</v>
      </c>
      <c r="W51" s="296">
        <f t="shared" si="2"/>
        <v>0</v>
      </c>
      <c r="X51" s="297">
        <f t="shared" si="15"/>
        <v>111.1111111111111</v>
      </c>
      <c r="Y51" s="109"/>
      <c r="Z51" s="110"/>
      <c r="AA51" s="110"/>
      <c r="AB51" s="110"/>
      <c r="AC51" s="110"/>
      <c r="AD51" s="323"/>
      <c r="AE51" s="226"/>
      <c r="AF51" s="226"/>
      <c r="AG51" s="226"/>
      <c r="AH51" s="226"/>
      <c r="AI51" s="226"/>
      <c r="AJ51" s="226"/>
      <c r="AK51" s="226"/>
      <c r="AO51" s="88"/>
      <c r="AP51" s="7"/>
      <c r="AQ51" s="7"/>
      <c r="AR51" s="7"/>
      <c r="AS51" s="7"/>
      <c r="AT51" s="7"/>
      <c r="AU51" s="88"/>
      <c r="AV51" s="226"/>
    </row>
    <row r="52" spans="1:48" s="269" customFormat="1" ht="10.5" customHeight="1" hidden="1">
      <c r="A52" s="288"/>
      <c r="B52" s="289" t="s">
        <v>101</v>
      </c>
      <c r="C52" s="290"/>
      <c r="D52" s="322"/>
      <c r="E52" s="177">
        <f>'[2]2011 tulud'!$E51/15.6466</f>
        <v>0</v>
      </c>
      <c r="F52" s="178">
        <f>'[2]2011 tulud'!F51/15.6466</f>
        <v>0</v>
      </c>
      <c r="G52" s="179">
        <f>'[2]2011 tulud'!G51/15.6466</f>
        <v>0</v>
      </c>
      <c r="H52" s="179">
        <f>'[2]2011 tulud'!H51/15.6466</f>
        <v>0</v>
      </c>
      <c r="I52" s="180">
        <f>'[2]2011 tulud'!I51/15.6466</f>
        <v>0</v>
      </c>
      <c r="J52" s="301"/>
      <c r="K52" s="302"/>
      <c r="L52" s="302"/>
      <c r="M52" s="312"/>
      <c r="N52" s="283">
        <f t="shared" si="0"/>
        <v>0</v>
      </c>
      <c r="O52" s="284">
        <f t="shared" si="18"/>
        <v>0</v>
      </c>
      <c r="P52" s="302"/>
      <c r="Q52" s="302"/>
      <c r="R52" s="312"/>
      <c r="S52" s="320">
        <f t="shared" si="16"/>
        <v>0</v>
      </c>
      <c r="T52" s="295"/>
      <c r="U52" s="292"/>
      <c r="V52" s="292"/>
      <c r="W52" s="296">
        <f t="shared" si="2"/>
        <v>0</v>
      </c>
      <c r="X52" s="297" t="e">
        <f t="shared" si="15"/>
        <v>#DIV/0!</v>
      </c>
      <c r="Y52" s="109"/>
      <c r="Z52" s="321"/>
      <c r="AA52" s="110"/>
      <c r="AB52" s="110"/>
      <c r="AC52" s="298"/>
      <c r="AD52" s="8"/>
      <c r="AE52" s="226"/>
      <c r="AF52" s="226"/>
      <c r="AG52" s="226"/>
      <c r="AH52" s="88"/>
      <c r="AI52" s="88"/>
      <c r="AJ52" s="88"/>
      <c r="AK52" s="226"/>
      <c r="AO52" s="88"/>
      <c r="AP52" s="7"/>
      <c r="AQ52" s="7"/>
      <c r="AR52" s="7"/>
      <c r="AS52" s="7"/>
      <c r="AT52" s="7"/>
      <c r="AU52" s="88"/>
      <c r="AV52" s="226"/>
    </row>
    <row r="53" spans="1:48" s="269" customFormat="1" ht="12" customHeight="1">
      <c r="A53" s="288"/>
      <c r="B53" s="289" t="s">
        <v>102</v>
      </c>
      <c r="C53" s="290">
        <v>110000</v>
      </c>
      <c r="D53" s="322">
        <v>3000</v>
      </c>
      <c r="E53" s="177">
        <f>'[2]2011 tulud'!$E52/15.6466</f>
        <v>319.5582426853118</v>
      </c>
      <c r="F53" s="178">
        <f>'[2]2011 tulud'!F52/15.6466</f>
        <v>242.864264440837</v>
      </c>
      <c r="G53" s="179">
        <f>'[2]2011 tulud'!G52/15.6466</f>
        <v>255.64659414824948</v>
      </c>
      <c r="H53" s="179">
        <f>'[2]2011 tulud'!H52/15.6466</f>
        <v>255.64659414824948</v>
      </c>
      <c r="I53" s="180">
        <f>'[2]2011 tulud'!I52/15.6466</f>
        <v>319.5582426853118</v>
      </c>
      <c r="J53" s="301"/>
      <c r="K53" s="302"/>
      <c r="L53" s="302"/>
      <c r="M53" s="312"/>
      <c r="N53" s="283">
        <f t="shared" si="0"/>
        <v>319.5582426853118</v>
      </c>
      <c r="O53" s="284">
        <f t="shared" si="18"/>
        <v>0</v>
      </c>
      <c r="P53" s="302"/>
      <c r="Q53" s="302"/>
      <c r="R53" s="312">
        <v>0</v>
      </c>
      <c r="S53" s="320">
        <f t="shared" si="16"/>
        <v>319.5582426853118</v>
      </c>
      <c r="T53" s="295"/>
      <c r="U53" s="292"/>
      <c r="V53" s="292">
        <f>S53+T53</f>
        <v>319.5582426853118</v>
      </c>
      <c r="W53" s="296">
        <f t="shared" si="2"/>
        <v>63.91164853706235</v>
      </c>
      <c r="X53" s="297">
        <f t="shared" si="15"/>
        <v>80</v>
      </c>
      <c r="Y53" s="109"/>
      <c r="Z53" s="226"/>
      <c r="AA53" s="226"/>
      <c r="AB53" s="226"/>
      <c r="AC53" s="226"/>
      <c r="AD53" s="8"/>
      <c r="AE53" s="226"/>
      <c r="AF53" s="7"/>
      <c r="AG53" s="226"/>
      <c r="AH53" s="226"/>
      <c r="AI53" s="324"/>
      <c r="AJ53" s="226"/>
      <c r="AK53" s="226"/>
      <c r="AO53" s="88"/>
      <c r="AP53" s="7"/>
      <c r="AQ53" s="7"/>
      <c r="AR53" s="7"/>
      <c r="AS53" s="7"/>
      <c r="AT53" s="7"/>
      <c r="AU53" s="88"/>
      <c r="AV53" s="226"/>
    </row>
    <row r="54" spans="1:48" s="269" customFormat="1" ht="12.75" customHeight="1" hidden="1" thickBot="1">
      <c r="A54" s="288"/>
      <c r="B54" s="289" t="s">
        <v>103</v>
      </c>
      <c r="C54" s="290">
        <v>3000</v>
      </c>
      <c r="D54" s="322"/>
      <c r="E54" s="177">
        <f>'[2]2011 tulud'!$E53/15.6466</f>
        <v>0</v>
      </c>
      <c r="F54" s="178">
        <f>'[2]2011 tulud'!F53/15.6466</f>
        <v>0</v>
      </c>
      <c r="G54" s="179">
        <f>'[2]2011 tulud'!G53/15.6466</f>
        <v>0</v>
      </c>
      <c r="H54" s="179">
        <f>'[2]2011 tulud'!H53/15.6466</f>
        <v>0</v>
      </c>
      <c r="I54" s="180">
        <f>'[2]2011 tulud'!I53/15.6466</f>
        <v>0</v>
      </c>
      <c r="J54" s="301"/>
      <c r="K54" s="302"/>
      <c r="L54" s="302"/>
      <c r="M54" s="312"/>
      <c r="N54" s="283">
        <f t="shared" si="0"/>
        <v>0</v>
      </c>
      <c r="O54" s="284">
        <f t="shared" si="18"/>
        <v>0</v>
      </c>
      <c r="P54" s="302"/>
      <c r="Q54" s="302"/>
      <c r="R54" s="312">
        <v>0</v>
      </c>
      <c r="S54" s="320">
        <f t="shared" si="16"/>
        <v>0</v>
      </c>
      <c r="T54" s="295"/>
      <c r="U54" s="292"/>
      <c r="V54" s="292"/>
      <c r="W54" s="296">
        <f t="shared" si="2"/>
        <v>0</v>
      </c>
      <c r="X54" s="297" t="e">
        <f t="shared" si="15"/>
        <v>#DIV/0!</v>
      </c>
      <c r="Y54" s="109"/>
      <c r="Z54" s="110"/>
      <c r="AA54" s="110"/>
      <c r="AB54" s="110"/>
      <c r="AC54" s="298"/>
      <c r="AD54" s="7"/>
      <c r="AE54" s="226"/>
      <c r="AF54" s="226"/>
      <c r="AG54" s="226"/>
      <c r="AH54" s="226"/>
      <c r="AI54" s="324"/>
      <c r="AJ54" s="226"/>
      <c r="AK54" s="226"/>
      <c r="AO54" s="88"/>
      <c r="AP54" s="7"/>
      <c r="AQ54" s="7"/>
      <c r="AR54" s="7"/>
      <c r="AS54" s="7"/>
      <c r="AT54" s="88"/>
      <c r="AU54" s="88"/>
      <c r="AV54" s="226"/>
    </row>
    <row r="55" spans="1:48" s="269" customFormat="1" ht="11.25" customHeight="1" hidden="1" thickBot="1">
      <c r="A55" s="316" t="s">
        <v>104</v>
      </c>
      <c r="B55" s="317" t="s">
        <v>105</v>
      </c>
      <c r="C55" s="318"/>
      <c r="D55" s="195">
        <v>0</v>
      </c>
      <c r="E55" s="177">
        <f>'[2]2011 tulud'!$E54/15.6466</f>
        <v>0</v>
      </c>
      <c r="F55" s="178">
        <f>'[2]2011 tulud'!F54/15.6466</f>
        <v>0</v>
      </c>
      <c r="G55" s="179">
        <f>'[2]2011 tulud'!G54/15.6466</f>
        <v>0</v>
      </c>
      <c r="H55" s="179">
        <f>'[2]2011 tulud'!H54/15.6466</f>
        <v>0</v>
      </c>
      <c r="I55" s="180">
        <f>'[2]2011 tulud'!I54/15.6466</f>
        <v>0</v>
      </c>
      <c r="J55" s="307">
        <f>SUM(J56:J57)</f>
        <v>0</v>
      </c>
      <c r="K55" s="201">
        <f>SUM(K56:K57)</f>
        <v>0</v>
      </c>
      <c r="L55" s="201"/>
      <c r="M55" s="204"/>
      <c r="N55" s="283">
        <f t="shared" si="0"/>
        <v>0</v>
      </c>
      <c r="O55" s="284">
        <f t="shared" si="18"/>
        <v>0</v>
      </c>
      <c r="P55" s="201">
        <f>SUM(P56:P57)</f>
        <v>0</v>
      </c>
      <c r="Q55" s="201"/>
      <c r="R55" s="312">
        <v>0</v>
      </c>
      <c r="S55" s="320">
        <f t="shared" si="16"/>
        <v>0</v>
      </c>
      <c r="T55" s="224">
        <f>SUM(T56:T57)</f>
        <v>0</v>
      </c>
      <c r="U55" s="164">
        <f>SUM(U56:U57)</f>
        <v>0</v>
      </c>
      <c r="V55" s="164">
        <f>SUM(V56:V57)</f>
        <v>0</v>
      </c>
      <c r="W55" s="296">
        <f t="shared" si="2"/>
        <v>0</v>
      </c>
      <c r="X55" s="297" t="e">
        <f t="shared" si="15"/>
        <v>#DIV/0!</v>
      </c>
      <c r="Y55" s="109"/>
      <c r="Z55" s="110"/>
      <c r="AA55" s="110"/>
      <c r="AB55" s="110"/>
      <c r="AC55" s="298"/>
      <c r="AD55" s="7"/>
      <c r="AE55" s="226"/>
      <c r="AF55" s="226"/>
      <c r="AG55" s="226"/>
      <c r="AH55" s="298"/>
      <c r="AI55" s="226"/>
      <c r="AJ55" s="226"/>
      <c r="AK55" s="226"/>
      <c r="AN55" s="237"/>
      <c r="AO55" s="226"/>
      <c r="AP55" s="131"/>
      <c r="AQ55" s="131"/>
      <c r="AR55" s="131"/>
      <c r="AS55" s="131"/>
      <c r="AT55" s="226"/>
      <c r="AU55" s="226"/>
      <c r="AV55" s="226"/>
    </row>
    <row r="56" spans="1:48" s="269" customFormat="1" ht="11.25" customHeight="1" hidden="1" thickBot="1">
      <c r="A56" s="288"/>
      <c r="B56" s="289" t="s">
        <v>106</v>
      </c>
      <c r="C56" s="290">
        <v>0</v>
      </c>
      <c r="D56" s="322">
        <v>0</v>
      </c>
      <c r="E56" s="177">
        <f>'[2]2011 tulud'!$E55/15.6466</f>
        <v>0</v>
      </c>
      <c r="F56" s="178">
        <f>'[2]2011 tulud'!F55/15.6466</f>
        <v>0</v>
      </c>
      <c r="G56" s="179">
        <f>'[2]2011 tulud'!G55/15.6466</f>
        <v>0</v>
      </c>
      <c r="H56" s="179">
        <f>'[2]2011 tulud'!H55/15.6466</f>
        <v>0</v>
      </c>
      <c r="I56" s="180">
        <f>'[2]2011 tulud'!I55/15.6466</f>
        <v>0</v>
      </c>
      <c r="J56" s="301"/>
      <c r="K56" s="302"/>
      <c r="L56" s="302"/>
      <c r="M56" s="312"/>
      <c r="N56" s="283">
        <f t="shared" si="0"/>
        <v>0</v>
      </c>
      <c r="O56" s="284">
        <f t="shared" si="18"/>
        <v>0</v>
      </c>
      <c r="P56" s="302"/>
      <c r="Q56" s="302"/>
      <c r="R56" s="312">
        <v>0</v>
      </c>
      <c r="S56" s="320">
        <f t="shared" si="16"/>
        <v>0</v>
      </c>
      <c r="T56" s="295"/>
      <c r="U56" s="292"/>
      <c r="V56" s="292">
        <f aca="true" t="shared" si="19" ref="V56:V64">S56+T56</f>
        <v>0</v>
      </c>
      <c r="W56" s="296">
        <f t="shared" si="2"/>
        <v>0</v>
      </c>
      <c r="X56" s="297" t="e">
        <f t="shared" si="15"/>
        <v>#DIV/0!</v>
      </c>
      <c r="Y56" s="109"/>
      <c r="Z56" s="110"/>
      <c r="AA56" s="110"/>
      <c r="AB56" s="110"/>
      <c r="AC56" s="7"/>
      <c r="AD56" s="8"/>
      <c r="AE56" s="88"/>
      <c r="AF56" s="226"/>
      <c r="AG56" s="226"/>
      <c r="AH56" s="298"/>
      <c r="AI56" s="226"/>
      <c r="AJ56" s="226"/>
      <c r="AK56" s="226"/>
      <c r="AO56" s="226"/>
      <c r="AP56" s="226"/>
      <c r="AQ56" s="226"/>
      <c r="AR56" s="226"/>
      <c r="AS56" s="226"/>
      <c r="AT56" s="226"/>
      <c r="AU56" s="226"/>
      <c r="AV56" s="226"/>
    </row>
    <row r="57" spans="1:48" s="269" customFormat="1" ht="11.25" customHeight="1" hidden="1" thickBot="1">
      <c r="A57" s="288"/>
      <c r="B57" s="289" t="s">
        <v>107</v>
      </c>
      <c r="C57" s="290">
        <v>0</v>
      </c>
      <c r="D57" s="322"/>
      <c r="E57" s="177">
        <f>'[2]2011 tulud'!$E56/15.6466</f>
        <v>0</v>
      </c>
      <c r="F57" s="178">
        <f>'[2]2011 tulud'!F56/15.6466</f>
        <v>0</v>
      </c>
      <c r="G57" s="179">
        <f>'[2]2011 tulud'!G56/15.6466</f>
        <v>0</v>
      </c>
      <c r="H57" s="179">
        <f>'[2]2011 tulud'!H56/15.6466</f>
        <v>0</v>
      </c>
      <c r="I57" s="180">
        <f>'[2]2011 tulud'!I56/15.6466</f>
        <v>0</v>
      </c>
      <c r="J57" s="301"/>
      <c r="K57" s="302"/>
      <c r="L57" s="302"/>
      <c r="M57" s="312"/>
      <c r="N57" s="283">
        <f t="shared" si="0"/>
        <v>0</v>
      </c>
      <c r="O57" s="284">
        <f t="shared" si="18"/>
        <v>0</v>
      </c>
      <c r="P57" s="302"/>
      <c r="Q57" s="302"/>
      <c r="R57" s="312">
        <v>0</v>
      </c>
      <c r="S57" s="320">
        <f t="shared" si="16"/>
        <v>0</v>
      </c>
      <c r="T57" s="295"/>
      <c r="U57" s="292"/>
      <c r="V57" s="292">
        <f t="shared" si="19"/>
        <v>0</v>
      </c>
      <c r="W57" s="296">
        <f t="shared" si="2"/>
        <v>0</v>
      </c>
      <c r="X57" s="297" t="e">
        <f t="shared" si="15"/>
        <v>#DIV/0!</v>
      </c>
      <c r="Y57" s="109"/>
      <c r="Z57" s="110"/>
      <c r="AA57" s="110"/>
      <c r="AB57" s="110"/>
      <c r="AC57" s="298"/>
      <c r="AD57" s="8"/>
      <c r="AE57" s="226"/>
      <c r="AF57" s="226"/>
      <c r="AG57" s="226"/>
      <c r="AH57" s="298"/>
      <c r="AI57" s="226"/>
      <c r="AJ57" s="226"/>
      <c r="AK57" s="226"/>
      <c r="AO57" s="226"/>
      <c r="AP57" s="226"/>
      <c r="AQ57" s="226"/>
      <c r="AR57" s="226"/>
      <c r="AS57" s="226"/>
      <c r="AT57" s="226"/>
      <c r="AU57" s="226"/>
      <c r="AV57" s="226"/>
    </row>
    <row r="58" spans="1:48" s="269" customFormat="1" ht="12.75" hidden="1">
      <c r="A58" s="316" t="s">
        <v>108</v>
      </c>
      <c r="B58" s="317" t="s">
        <v>109</v>
      </c>
      <c r="C58" s="318"/>
      <c r="D58" s="325"/>
      <c r="E58" s="177">
        <f>'[2]2011 tulud'!$E57/15.6466</f>
        <v>0</v>
      </c>
      <c r="F58" s="178">
        <f>'[2]2011 tulud'!F57/15.6466</f>
        <v>0</v>
      </c>
      <c r="G58" s="179">
        <f>'[2]2011 tulud'!G57/15.6466</f>
        <v>0</v>
      </c>
      <c r="H58" s="179">
        <f>'[2]2011 tulud'!H57/15.6466</f>
        <v>0</v>
      </c>
      <c r="I58" s="180">
        <f>'[2]2011 tulud'!I57/15.6466</f>
        <v>0</v>
      </c>
      <c r="J58" s="307"/>
      <c r="K58" s="201"/>
      <c r="L58" s="201"/>
      <c r="M58" s="204"/>
      <c r="N58" s="283">
        <f t="shared" si="0"/>
        <v>0</v>
      </c>
      <c r="O58" s="284">
        <f t="shared" si="18"/>
        <v>0</v>
      </c>
      <c r="P58" s="201"/>
      <c r="Q58" s="201"/>
      <c r="R58" s="312">
        <v>0</v>
      </c>
      <c r="S58" s="320">
        <f t="shared" si="16"/>
        <v>0</v>
      </c>
      <c r="T58" s="224"/>
      <c r="U58" s="164"/>
      <c r="V58" s="164">
        <f t="shared" si="19"/>
        <v>0</v>
      </c>
      <c r="W58" s="296">
        <f t="shared" si="2"/>
        <v>0</v>
      </c>
      <c r="X58" s="297" t="e">
        <f t="shared" si="15"/>
        <v>#DIV/0!</v>
      </c>
      <c r="Y58" s="109"/>
      <c r="Z58" s="110"/>
      <c r="AA58" s="110"/>
      <c r="AB58" s="110"/>
      <c r="AC58" s="298"/>
      <c r="AD58" s="7"/>
      <c r="AE58" s="226"/>
      <c r="AF58" s="226"/>
      <c r="AG58" s="226"/>
      <c r="AH58" s="324"/>
      <c r="AI58" s="226"/>
      <c r="AJ58" s="226"/>
      <c r="AK58" s="226"/>
      <c r="AO58" s="226"/>
      <c r="AP58" s="226"/>
      <c r="AQ58" s="226"/>
      <c r="AR58" s="226"/>
      <c r="AS58" s="226"/>
      <c r="AT58" s="226"/>
      <c r="AU58" s="226"/>
      <c r="AV58" s="226"/>
    </row>
    <row r="59" spans="1:48" s="269" customFormat="1" ht="12.75" hidden="1">
      <c r="A59" s="316" t="s">
        <v>110</v>
      </c>
      <c r="B59" s="317" t="s">
        <v>111</v>
      </c>
      <c r="C59" s="318"/>
      <c r="D59" s="325"/>
      <c r="E59" s="177">
        <f>'[2]2011 tulud'!$E58/15.6466</f>
        <v>0</v>
      </c>
      <c r="F59" s="178">
        <f>'[2]2011 tulud'!F58/15.6466</f>
        <v>0</v>
      </c>
      <c r="G59" s="179">
        <f>'[2]2011 tulud'!G58/15.6466</f>
        <v>0</v>
      </c>
      <c r="H59" s="179">
        <f>'[2]2011 tulud'!H58/15.6466</f>
        <v>0</v>
      </c>
      <c r="I59" s="180">
        <f>'[2]2011 tulud'!I58/15.6466</f>
        <v>0</v>
      </c>
      <c r="J59" s="307"/>
      <c r="K59" s="201"/>
      <c r="L59" s="201"/>
      <c r="M59" s="204"/>
      <c r="N59" s="283">
        <f t="shared" si="0"/>
        <v>0</v>
      </c>
      <c r="O59" s="284">
        <f t="shared" si="18"/>
        <v>0</v>
      </c>
      <c r="P59" s="201"/>
      <c r="Q59" s="201"/>
      <c r="R59" s="312">
        <v>0</v>
      </c>
      <c r="S59" s="320">
        <f t="shared" si="16"/>
        <v>0</v>
      </c>
      <c r="T59" s="224"/>
      <c r="U59" s="164"/>
      <c r="V59" s="164">
        <f t="shared" si="19"/>
        <v>0</v>
      </c>
      <c r="W59" s="296">
        <f t="shared" si="2"/>
        <v>0</v>
      </c>
      <c r="X59" s="297" t="e">
        <f t="shared" si="15"/>
        <v>#DIV/0!</v>
      </c>
      <c r="Y59" s="109"/>
      <c r="Z59" s="190"/>
      <c r="AA59" s="148"/>
      <c r="AB59" s="148"/>
      <c r="AC59" s="148"/>
      <c r="AD59" s="148"/>
      <c r="AE59" s="226"/>
      <c r="AF59" s="226"/>
      <c r="AG59" s="226"/>
      <c r="AH59" s="324"/>
      <c r="AI59" s="226"/>
      <c r="AJ59" s="226"/>
      <c r="AK59" s="226"/>
      <c r="AO59" s="226"/>
      <c r="AP59" s="226"/>
      <c r="AQ59" s="226"/>
      <c r="AR59" s="226"/>
      <c r="AS59" s="226"/>
      <c r="AT59" s="226"/>
      <c r="AU59" s="226"/>
      <c r="AV59" s="226"/>
    </row>
    <row r="60" spans="1:48" s="269" customFormat="1" ht="12.75">
      <c r="A60" s="316"/>
      <c r="B60" s="317" t="s">
        <v>112</v>
      </c>
      <c r="C60" s="318"/>
      <c r="D60" s="325"/>
      <c r="E60" s="177">
        <f>'[2]2011 tulud'!$E59/15.6466</f>
        <v>0</v>
      </c>
      <c r="F60" s="178">
        <f>'[2]2011 tulud'!F59/15.6466</f>
        <v>0</v>
      </c>
      <c r="G60" s="179">
        <f>'[2]2011 tulud'!G59/15.6466</f>
        <v>0</v>
      </c>
      <c r="H60" s="179">
        <f>'[2]2011 tulud'!H59/15.6466</f>
        <v>0</v>
      </c>
      <c r="I60" s="180">
        <f>'[2]2011 tulud'!I59/15.6466</f>
        <v>4985.108585890865</v>
      </c>
      <c r="J60" s="307">
        <f>K60+L60+M60</f>
        <v>-985</v>
      </c>
      <c r="K60" s="201"/>
      <c r="L60" s="201"/>
      <c r="M60" s="204">
        <v>-985</v>
      </c>
      <c r="N60" s="283">
        <f t="shared" si="0"/>
        <v>4000.1085858908646</v>
      </c>
      <c r="O60" s="284">
        <f t="shared" si="18"/>
        <v>0</v>
      </c>
      <c r="P60" s="201"/>
      <c r="Q60" s="201"/>
      <c r="R60" s="312">
        <v>0</v>
      </c>
      <c r="S60" s="320">
        <f t="shared" si="16"/>
        <v>4000.1085858908646</v>
      </c>
      <c r="T60" s="224"/>
      <c r="U60" s="164"/>
      <c r="V60" s="164"/>
      <c r="W60" s="296"/>
      <c r="X60" s="297"/>
      <c r="Y60" s="109"/>
      <c r="Z60" s="190"/>
      <c r="AA60" s="148"/>
      <c r="AB60" s="148"/>
      <c r="AC60" s="148"/>
      <c r="AD60" s="148"/>
      <c r="AE60" s="226"/>
      <c r="AF60" s="226"/>
      <c r="AG60" s="226"/>
      <c r="AH60" s="324"/>
      <c r="AI60" s="226"/>
      <c r="AJ60" s="226"/>
      <c r="AK60" s="226"/>
      <c r="AO60" s="226"/>
      <c r="AP60" s="226"/>
      <c r="AQ60" s="226"/>
      <c r="AR60" s="226"/>
      <c r="AS60" s="226"/>
      <c r="AT60" s="226"/>
      <c r="AU60" s="226"/>
      <c r="AV60" s="226"/>
    </row>
    <row r="61" spans="1:48" s="269" customFormat="1" ht="12.75" hidden="1">
      <c r="A61" s="316" t="s">
        <v>113</v>
      </c>
      <c r="B61" s="317" t="s">
        <v>114</v>
      </c>
      <c r="C61" s="318"/>
      <c r="D61" s="325"/>
      <c r="E61" s="177">
        <f>'[2]2011 tulud'!$E60/15.6466</f>
        <v>0</v>
      </c>
      <c r="F61" s="178">
        <f>'[2]2011 tulud'!F60/15.6466</f>
        <v>115.04096736671227</v>
      </c>
      <c r="G61" s="179">
        <f>'[2]2011 tulud'!G60/15.6466</f>
        <v>0</v>
      </c>
      <c r="H61" s="179">
        <f>'[2]2011 tulud'!H60/15.6466</f>
        <v>0</v>
      </c>
      <c r="I61" s="180">
        <f>'[2]2011 tulud'!I60/15.6466</f>
        <v>0</v>
      </c>
      <c r="J61" s="307"/>
      <c r="K61" s="201"/>
      <c r="L61" s="201"/>
      <c r="M61" s="204"/>
      <c r="N61" s="283">
        <f t="shared" si="0"/>
        <v>0</v>
      </c>
      <c r="O61" s="284">
        <f t="shared" si="18"/>
        <v>0</v>
      </c>
      <c r="P61" s="201"/>
      <c r="Q61" s="201"/>
      <c r="R61" s="204"/>
      <c r="S61" s="326">
        <f>N61+O61</f>
        <v>0</v>
      </c>
      <c r="T61" s="224"/>
      <c r="U61" s="164"/>
      <c r="V61" s="164">
        <f t="shared" si="19"/>
        <v>0</v>
      </c>
      <c r="W61" s="296">
        <f t="shared" si="2"/>
        <v>0</v>
      </c>
      <c r="X61" s="297"/>
      <c r="Y61" s="109"/>
      <c r="Z61" s="110"/>
      <c r="AA61" s="110"/>
      <c r="AB61" s="110"/>
      <c r="AC61" s="7"/>
      <c r="AD61" s="111"/>
      <c r="AE61" s="226"/>
      <c r="AF61" s="226"/>
      <c r="AG61" s="226"/>
      <c r="AH61" s="324"/>
      <c r="AI61" s="226"/>
      <c r="AJ61" s="226"/>
      <c r="AK61" s="226"/>
      <c r="AO61" s="226"/>
      <c r="AP61" s="226"/>
      <c r="AQ61" s="226"/>
      <c r="AR61" s="226"/>
      <c r="AS61" s="226"/>
      <c r="AT61" s="226"/>
      <c r="AU61" s="226"/>
      <c r="AV61" s="226"/>
    </row>
    <row r="62" spans="1:48" s="269" customFormat="1" ht="12.75" hidden="1">
      <c r="A62" s="316" t="s">
        <v>115</v>
      </c>
      <c r="B62" s="317" t="s">
        <v>116</v>
      </c>
      <c r="C62" s="318"/>
      <c r="D62" s="325"/>
      <c r="E62" s="177">
        <f>'[2]2011 tulud'!$E61/15.6466</f>
        <v>0</v>
      </c>
      <c r="F62" s="178">
        <f>'[2]2011 tulud'!F61/15.6466</f>
        <v>0</v>
      </c>
      <c r="G62" s="179">
        <f>'[2]2011 tulud'!G61/15.6466</f>
        <v>0</v>
      </c>
      <c r="H62" s="179">
        <f>'[2]2011 tulud'!H61/15.6466</f>
        <v>0</v>
      </c>
      <c r="I62" s="180">
        <f>'[2]2011 tulud'!I61/15.6466</f>
        <v>0</v>
      </c>
      <c r="J62" s="327"/>
      <c r="K62" s="328"/>
      <c r="L62" s="329"/>
      <c r="M62" s="330"/>
      <c r="N62" s="283">
        <f t="shared" si="0"/>
        <v>0</v>
      </c>
      <c r="O62" s="284">
        <f t="shared" si="18"/>
        <v>0</v>
      </c>
      <c r="P62" s="328"/>
      <c r="Q62" s="329"/>
      <c r="R62" s="330"/>
      <c r="S62" s="331">
        <f>N62+O62</f>
        <v>0</v>
      </c>
      <c r="T62" s="213"/>
      <c r="U62" s="214"/>
      <c r="V62" s="215">
        <f t="shared" si="19"/>
        <v>0</v>
      </c>
      <c r="W62" s="332">
        <f t="shared" si="2"/>
        <v>0</v>
      </c>
      <c r="X62" s="333"/>
      <c r="Y62" s="109"/>
      <c r="Z62" s="110"/>
      <c r="AA62" s="110"/>
      <c r="AB62" s="110"/>
      <c r="AC62" s="7"/>
      <c r="AD62" s="111"/>
      <c r="AE62" s="226"/>
      <c r="AF62" s="226"/>
      <c r="AG62" s="226"/>
      <c r="AH62" s="226"/>
      <c r="AI62" s="226"/>
      <c r="AJ62" s="226"/>
      <c r="AK62" s="226"/>
      <c r="AO62" s="88"/>
      <c r="AP62" s="88"/>
      <c r="AQ62" s="88"/>
      <c r="AR62" s="88"/>
      <c r="AS62" s="88"/>
      <c r="AT62" s="88"/>
      <c r="AU62" s="88"/>
      <c r="AV62" s="226"/>
    </row>
    <row r="63" spans="1:48" s="269" customFormat="1" ht="12.75" hidden="1">
      <c r="A63" s="316" t="s">
        <v>117</v>
      </c>
      <c r="B63" s="317" t="s">
        <v>118</v>
      </c>
      <c r="C63" s="318"/>
      <c r="D63" s="325"/>
      <c r="E63" s="177">
        <f>'[2]2011 tulud'!$E62/15.6466</f>
        <v>0</v>
      </c>
      <c r="F63" s="178">
        <f>'[2]2011 tulud'!F62/15.6466</f>
        <v>0</v>
      </c>
      <c r="G63" s="179">
        <f>'[2]2011 tulud'!G62/15.6466</f>
        <v>0</v>
      </c>
      <c r="H63" s="179">
        <f>'[2]2011 tulud'!H62/15.6466</f>
        <v>0</v>
      </c>
      <c r="I63" s="180">
        <f>'[2]2011 tulud'!I62/15.6466</f>
        <v>0</v>
      </c>
      <c r="J63" s="196"/>
      <c r="K63" s="197"/>
      <c r="L63" s="198"/>
      <c r="M63" s="334"/>
      <c r="N63" s="283">
        <f t="shared" si="0"/>
        <v>0</v>
      </c>
      <c r="O63" s="284">
        <f t="shared" si="18"/>
        <v>0</v>
      </c>
      <c r="P63" s="197"/>
      <c r="Q63" s="198"/>
      <c r="R63" s="334"/>
      <c r="S63" s="326">
        <f>N63+O63</f>
        <v>0</v>
      </c>
      <c r="T63" s="224"/>
      <c r="U63" s="164"/>
      <c r="V63" s="225">
        <f t="shared" si="19"/>
        <v>0</v>
      </c>
      <c r="W63" s="296">
        <f t="shared" si="2"/>
        <v>0</v>
      </c>
      <c r="X63" s="297"/>
      <c r="Y63" s="109"/>
      <c r="Z63" s="110"/>
      <c r="AA63" s="110"/>
      <c r="AB63" s="110"/>
      <c r="AC63" s="7"/>
      <c r="AD63" s="111"/>
      <c r="AE63" s="226"/>
      <c r="AF63" s="226"/>
      <c r="AG63" s="226"/>
      <c r="AH63" s="226"/>
      <c r="AI63" s="226"/>
      <c r="AJ63" s="226"/>
      <c r="AK63" s="226"/>
      <c r="AO63" s="88"/>
      <c r="AP63" s="88"/>
      <c r="AQ63" s="88"/>
      <c r="AR63" s="88"/>
      <c r="AS63" s="88"/>
      <c r="AT63" s="88"/>
      <c r="AU63" s="88"/>
      <c r="AV63" s="226"/>
    </row>
    <row r="64" spans="1:48" s="269" customFormat="1" ht="12.75">
      <c r="A64" s="316" t="s">
        <v>119</v>
      </c>
      <c r="B64" s="317" t="s">
        <v>120</v>
      </c>
      <c r="C64" s="318"/>
      <c r="D64" s="325"/>
      <c r="E64" s="177">
        <f>'[2]2011 tulud'!$E63/15.6466</f>
        <v>0</v>
      </c>
      <c r="F64" s="178">
        <f>'[2]2011 tulud'!F63/15.6466</f>
        <v>0</v>
      </c>
      <c r="G64" s="179">
        <f>'[2]2011 tulud'!G63/15.6466</f>
        <v>0</v>
      </c>
      <c r="H64" s="179">
        <f>'[2]2011 tulud'!H63/15.6466</f>
        <v>20038.53872406785</v>
      </c>
      <c r="I64" s="180">
        <f>'[2]2011 tulud'!I63/15.6466</f>
        <v>0</v>
      </c>
      <c r="J64" s="335">
        <f>K64+L64+M64</f>
        <v>14373.198847262249</v>
      </c>
      <c r="K64" s="201"/>
      <c r="L64" s="336">
        <f>19950/1.388</f>
        <v>14373.198847262249</v>
      </c>
      <c r="M64" s="337"/>
      <c r="N64" s="283">
        <f t="shared" si="0"/>
        <v>14373.198847262249</v>
      </c>
      <c r="O64" s="284">
        <f t="shared" si="18"/>
        <v>0</v>
      </c>
      <c r="P64" s="201"/>
      <c r="Q64" s="338"/>
      <c r="R64" s="201">
        <v>0</v>
      </c>
      <c r="S64" s="339">
        <f>N64+O64</f>
        <v>14373.198847262249</v>
      </c>
      <c r="T64" s="247"/>
      <c r="U64" s="248"/>
      <c r="V64" s="249">
        <f t="shared" si="19"/>
        <v>14373.198847262249</v>
      </c>
      <c r="W64" s="340">
        <f t="shared" si="2"/>
        <v>14373.198847262249</v>
      </c>
      <c r="X64" s="333"/>
      <c r="Y64" s="109"/>
      <c r="Z64" s="110"/>
      <c r="AA64" s="110"/>
      <c r="AB64" s="110"/>
      <c r="AC64" s="7"/>
      <c r="AD64" s="111"/>
      <c r="AE64" s="226"/>
      <c r="AF64" s="226"/>
      <c r="AG64" s="226"/>
      <c r="AH64" s="226"/>
      <c r="AI64" s="226"/>
      <c r="AJ64" s="226"/>
      <c r="AK64" s="226"/>
      <c r="AO64" s="88"/>
      <c r="AP64" s="88"/>
      <c r="AQ64" s="88"/>
      <c r="AR64" s="88"/>
      <c r="AS64" s="88"/>
      <c r="AT64" s="88"/>
      <c r="AU64" s="88"/>
      <c r="AV64" s="226"/>
    </row>
    <row r="65" spans="1:47" s="190" customFormat="1" ht="12" customHeight="1">
      <c r="A65" s="227" t="s">
        <v>121</v>
      </c>
      <c r="B65" s="281" t="s">
        <v>122</v>
      </c>
      <c r="C65" s="229"/>
      <c r="D65" s="230">
        <v>1900000</v>
      </c>
      <c r="E65" s="177">
        <f>'[2]2011 tulud'!$E64/15.6466</f>
        <v>155305.30594506155</v>
      </c>
      <c r="F65" s="178">
        <f>'[2]2011 tulud'!F64/15.6466</f>
        <v>242859.2793322511</v>
      </c>
      <c r="G65" s="179">
        <f>'[2]2011 tulud'!G64/15.6466</f>
        <v>142842.5344803344</v>
      </c>
      <c r="H65" s="179">
        <f>'[2]2011 tulud'!H64/15.6466</f>
        <v>147033.02953996396</v>
      </c>
      <c r="I65" s="180">
        <f>'[2]2011 tulud'!I64/15.6466</f>
        <v>149808.9041708742</v>
      </c>
      <c r="J65" s="305">
        <f>J67+J79+J83</f>
        <v>-1802</v>
      </c>
      <c r="K65" s="338">
        <f>SUM(K67:K84)</f>
        <v>0</v>
      </c>
      <c r="L65" s="341">
        <f>SUM(L67:L84)</f>
        <v>0</v>
      </c>
      <c r="M65" s="342">
        <f>M67+M79+M83</f>
        <v>-1802</v>
      </c>
      <c r="N65" s="283">
        <f>I65+J65</f>
        <v>148006.9041708742</v>
      </c>
      <c r="O65" s="184">
        <f>SUM(O67:O84)</f>
        <v>47007</v>
      </c>
      <c r="P65" s="338">
        <f>SUM(P67:P84)</f>
        <v>0</v>
      </c>
      <c r="Q65" s="338">
        <f>SUM(Q67:Q84)</f>
        <v>37830</v>
      </c>
      <c r="R65" s="338">
        <f>SUM(R67:R84)</f>
        <v>9177</v>
      </c>
      <c r="S65" s="343">
        <f>N65+O65</f>
        <v>195013.9041708742</v>
      </c>
      <c r="T65" s="344">
        <f>SUM(T68:T84)</f>
        <v>0</v>
      </c>
      <c r="U65" s="185">
        <f>SUM(U68:U84)</f>
        <v>0</v>
      </c>
      <c r="V65" s="185">
        <f>SUM(V68:V84)</f>
        <v>188906.9041708742</v>
      </c>
      <c r="W65" s="187">
        <f>N65-G65</f>
        <v>5164.369690539781</v>
      </c>
      <c r="X65" s="188">
        <f aca="true" t="shared" si="20" ref="X65:X84">G65/E65*100</f>
        <v>91.97530864197532</v>
      </c>
      <c r="Y65" s="109"/>
      <c r="Z65" s="110"/>
      <c r="AA65" s="110"/>
      <c r="AB65" s="110"/>
      <c r="AC65" s="7"/>
      <c r="AD65" s="111"/>
      <c r="AE65" s="88"/>
      <c r="AO65" s="88"/>
      <c r="AP65" s="88"/>
      <c r="AQ65" s="88"/>
      <c r="AR65" s="88"/>
      <c r="AS65" s="88"/>
      <c r="AT65" s="88"/>
      <c r="AU65" s="88"/>
    </row>
    <row r="66" spans="1:48" s="269" customFormat="1" ht="12.75" hidden="1">
      <c r="A66" s="192" t="s">
        <v>123</v>
      </c>
      <c r="B66" s="193" t="s">
        <v>124</v>
      </c>
      <c r="C66" s="194">
        <v>1750000</v>
      </c>
      <c r="D66" s="195"/>
      <c r="E66" s="177">
        <f>'[2]2011 tulud'!$E65/15.6466</f>
        <v>0</v>
      </c>
      <c r="F66" s="178">
        <f>'[2]2011 tulud'!F65/15.6466</f>
        <v>0</v>
      </c>
      <c r="G66" s="179">
        <f>'[2]2011 tulud'!G65/15.6466</f>
        <v>0</v>
      </c>
      <c r="H66" s="179">
        <f>'[2]2011 tulud'!H65/15.6466</f>
        <v>0</v>
      </c>
      <c r="I66" s="180">
        <f>'[2]2011 tulud'!I65/15.6466</f>
        <v>0</v>
      </c>
      <c r="J66" s="307"/>
      <c r="K66" s="201"/>
      <c r="L66" s="204"/>
      <c r="M66" s="204"/>
      <c r="N66" s="283">
        <f t="shared" si="0"/>
        <v>0</v>
      </c>
      <c r="O66" s="222"/>
      <c r="P66" s="201"/>
      <c r="Q66" s="204"/>
      <c r="R66" s="204"/>
      <c r="S66" s="165">
        <f aca="true" t="shared" si="21" ref="S66:S84">N66+O66</f>
        <v>0</v>
      </c>
      <c r="T66" s="224"/>
      <c r="U66" s="164"/>
      <c r="V66" s="164">
        <f>S66+T66</f>
        <v>0</v>
      </c>
      <c r="W66" s="187">
        <f t="shared" si="2"/>
        <v>0</v>
      </c>
      <c r="X66" s="188" t="e">
        <f t="shared" si="20"/>
        <v>#DIV/0!</v>
      </c>
      <c r="Y66" s="109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O66" s="88"/>
      <c r="AP66" s="88"/>
      <c r="AQ66" s="88"/>
      <c r="AR66" s="88"/>
      <c r="AS66" s="88"/>
      <c r="AT66" s="88"/>
      <c r="AU66" s="88"/>
      <c r="AV66" s="226"/>
    </row>
    <row r="67" spans="1:48" s="269" customFormat="1" ht="11.25" customHeight="1">
      <c r="A67" s="192" t="s">
        <v>125</v>
      </c>
      <c r="B67" s="193" t="s">
        <v>126</v>
      </c>
      <c r="C67" s="194"/>
      <c r="D67" s="195"/>
      <c r="E67" s="177">
        <f>'[2]2011 tulud'!$E66/15.6466</f>
        <v>0</v>
      </c>
      <c r="F67" s="178">
        <f>'[2]2011 tulud'!F66/15.6466</f>
        <v>0</v>
      </c>
      <c r="G67" s="179">
        <f>'[2]2011 tulud'!G66/15.6466</f>
        <v>0</v>
      </c>
      <c r="H67" s="179">
        <f>'[2]2011 tulud'!H66/15.6466</f>
        <v>0</v>
      </c>
      <c r="I67" s="180">
        <f>'[2]2011 tulud'!I66/15.6466</f>
        <v>0</v>
      </c>
      <c r="J67" s="307">
        <f>K67+L67+M67</f>
        <v>-1802</v>
      </c>
      <c r="K67" s="201"/>
      <c r="L67" s="204"/>
      <c r="M67" s="204">
        <f>SUM(M70:M77)</f>
        <v>-1802</v>
      </c>
      <c r="N67" s="283">
        <f>I67+J67</f>
        <v>-1802</v>
      </c>
      <c r="O67" s="284">
        <f>P67+Q67+R67</f>
        <v>6930</v>
      </c>
      <c r="P67" s="201"/>
      <c r="Q67" s="204">
        <v>6930</v>
      </c>
      <c r="R67" s="204"/>
      <c r="S67" s="165">
        <f t="shared" si="21"/>
        <v>5128</v>
      </c>
      <c r="T67" s="224"/>
      <c r="U67" s="164"/>
      <c r="V67" s="164"/>
      <c r="W67" s="187">
        <f>N67-G67</f>
        <v>-1802</v>
      </c>
      <c r="X67" s="188" t="e">
        <f t="shared" si="20"/>
        <v>#DIV/0!</v>
      </c>
      <c r="Y67" s="109"/>
      <c r="Z67" s="110"/>
      <c r="AA67" s="110"/>
      <c r="AB67" s="110"/>
      <c r="AC67" s="110"/>
      <c r="AD67" s="110"/>
      <c r="AE67" s="226"/>
      <c r="AF67" s="226"/>
      <c r="AG67" s="226"/>
      <c r="AH67" s="226"/>
      <c r="AI67" s="226"/>
      <c r="AJ67" s="226"/>
      <c r="AK67" s="226"/>
      <c r="AO67" s="88"/>
      <c r="AP67" s="88"/>
      <c r="AQ67" s="88"/>
      <c r="AR67" s="88"/>
      <c r="AS67" s="88"/>
      <c r="AT67" s="88"/>
      <c r="AU67" s="88"/>
      <c r="AV67" s="226"/>
    </row>
    <row r="68" spans="1:48" s="269" customFormat="1" ht="11.25" customHeight="1">
      <c r="A68" s="192" t="s">
        <v>127</v>
      </c>
      <c r="B68" s="193" t="s">
        <v>128</v>
      </c>
      <c r="C68" s="194"/>
      <c r="D68" s="195">
        <v>1100000</v>
      </c>
      <c r="E68" s="177">
        <f>'[2]2011 tulud'!$E67/15.6466</f>
        <v>86280.7255250342</v>
      </c>
      <c r="F68" s="178">
        <f>'[2]2011 tulud'!F67/15.6466</f>
        <v>122385.82183988854</v>
      </c>
      <c r="G68" s="179">
        <f>'[2]2011 tulud'!G67/15.6466</f>
        <v>50170.644101593956</v>
      </c>
      <c r="H68" s="179">
        <f>'[2]2011 tulud'!H67/15.6466</f>
        <v>111238.22427875706</v>
      </c>
      <c r="I68" s="180">
        <f>'[2]2011 tulud'!I67/15.6466</f>
        <v>111398.00340009971</v>
      </c>
      <c r="K68" s="201"/>
      <c r="L68" s="204"/>
      <c r="M68" s="204">
        <f>SUM(M71:M78)</f>
        <v>-1955</v>
      </c>
      <c r="N68" s="283">
        <f>I68+J67</f>
        <v>109596.00340009971</v>
      </c>
      <c r="O68" s="222"/>
      <c r="P68" s="201"/>
      <c r="Q68" s="204"/>
      <c r="R68" s="341"/>
      <c r="S68" s="165">
        <f t="shared" si="21"/>
        <v>109596.00340009971</v>
      </c>
      <c r="T68" s="224"/>
      <c r="U68" s="164"/>
      <c r="V68" s="164">
        <f>S68+T68</f>
        <v>109596.00340009971</v>
      </c>
      <c r="W68" s="187">
        <f t="shared" si="2"/>
        <v>59425.359298505755</v>
      </c>
      <c r="X68" s="188">
        <f t="shared" si="20"/>
        <v>58.14814814814815</v>
      </c>
      <c r="Z68" s="110"/>
      <c r="AA68" s="110"/>
      <c r="AD68" s="109"/>
      <c r="AE68" s="88"/>
      <c r="AF68" s="88"/>
      <c r="AG68" s="226"/>
      <c r="AH68" s="226"/>
      <c r="AI68" s="226"/>
      <c r="AJ68" s="226"/>
      <c r="AK68" s="226"/>
      <c r="AO68" s="88"/>
      <c r="AP68" s="88"/>
      <c r="AQ68" s="88"/>
      <c r="AR68" s="88"/>
      <c r="AS68" s="88"/>
      <c r="AT68" s="88"/>
      <c r="AU68" s="88"/>
      <c r="AV68" s="226"/>
    </row>
    <row r="69" spans="1:48" s="269" customFormat="1" ht="11.25" customHeight="1">
      <c r="A69" s="192"/>
      <c r="B69" s="193" t="s">
        <v>129</v>
      </c>
      <c r="C69" s="194"/>
      <c r="D69" s="195"/>
      <c r="E69" s="177">
        <f>'[2]2011 tulud'!$E68/15.6466</f>
        <v>0</v>
      </c>
      <c r="F69" s="178">
        <f>'[2]2011 tulud'!F68/15.6466</f>
        <v>0</v>
      </c>
      <c r="G69" s="179">
        <f>'[2]2011 tulud'!G68/15.6466</f>
        <v>0</v>
      </c>
      <c r="H69" s="179">
        <f>'[2]2011 tulud'!H68/15.6466</f>
        <v>0</v>
      </c>
      <c r="I69" s="180">
        <f>'[2]2011 tulud'!I68/15.6466</f>
        <v>44738.15397594366</v>
      </c>
      <c r="J69" s="307">
        <f aca="true" t="shared" si="22" ref="J69:J79">K69+L69+M69</f>
        <v>0</v>
      </c>
      <c r="K69" s="201"/>
      <c r="L69" s="204"/>
      <c r="M69" s="204"/>
      <c r="N69" s="283">
        <f t="shared" si="0"/>
        <v>44738.15397594366</v>
      </c>
      <c r="O69" s="284">
        <f>P69+Q69+R69</f>
        <v>-10000</v>
      </c>
      <c r="P69" s="201"/>
      <c r="Q69" s="204">
        <v>-10000</v>
      </c>
      <c r="R69" s="204"/>
      <c r="S69" s="165">
        <f t="shared" si="21"/>
        <v>34738.15397594366</v>
      </c>
      <c r="T69" s="224"/>
      <c r="U69" s="164"/>
      <c r="V69" s="164"/>
      <c r="W69" s="187"/>
      <c r="X69" s="188"/>
      <c r="Z69" s="110"/>
      <c r="AA69" s="110"/>
      <c r="AD69" s="109"/>
      <c r="AE69" s="88"/>
      <c r="AF69" s="88"/>
      <c r="AG69" s="226"/>
      <c r="AH69" s="226"/>
      <c r="AI69" s="226"/>
      <c r="AJ69" s="226"/>
      <c r="AK69" s="226"/>
      <c r="AO69" s="88"/>
      <c r="AP69" s="88"/>
      <c r="AQ69" s="88"/>
      <c r="AR69" s="88"/>
      <c r="AS69" s="88"/>
      <c r="AT69" s="88"/>
      <c r="AU69" s="88"/>
      <c r="AV69" s="226"/>
    </row>
    <row r="70" spans="1:48" s="269" customFormat="1" ht="11.25" customHeight="1">
      <c r="A70" s="192"/>
      <c r="B70" s="193" t="s">
        <v>99</v>
      </c>
      <c r="C70" s="194"/>
      <c r="D70" s="195"/>
      <c r="E70" s="177">
        <f>'[2]2011 tulud'!$E69/15.6466</f>
        <v>0</v>
      </c>
      <c r="F70" s="178">
        <f>'[2]2011 tulud'!F69/15.6466</f>
        <v>0</v>
      </c>
      <c r="G70" s="179">
        <f>'[2]2011 tulud'!G69/15.6466</f>
        <v>0</v>
      </c>
      <c r="H70" s="179">
        <f>'[2]2011 tulud'!H69/15.6466</f>
        <v>0</v>
      </c>
      <c r="I70" s="180">
        <f>'[2]2011 tulud'!I69/15.6466</f>
        <v>447.3815397594366</v>
      </c>
      <c r="J70" s="307">
        <f t="shared" si="22"/>
        <v>153</v>
      </c>
      <c r="K70" s="201"/>
      <c r="L70" s="204"/>
      <c r="M70" s="204">
        <v>153</v>
      </c>
      <c r="N70" s="283">
        <f t="shared" si="0"/>
        <v>600.3815397594366</v>
      </c>
      <c r="O70" s="222"/>
      <c r="P70" s="201"/>
      <c r="Q70" s="204"/>
      <c r="R70" s="204"/>
      <c r="S70" s="165">
        <f t="shared" si="21"/>
        <v>600.3815397594366</v>
      </c>
      <c r="T70" s="224"/>
      <c r="U70" s="164"/>
      <c r="V70" s="164"/>
      <c r="W70" s="187"/>
      <c r="X70" s="188"/>
      <c r="Z70" s="110"/>
      <c r="AA70" s="110"/>
      <c r="AD70" s="109"/>
      <c r="AE70" s="88"/>
      <c r="AF70" s="88"/>
      <c r="AG70" s="226"/>
      <c r="AH70" s="226"/>
      <c r="AI70" s="226"/>
      <c r="AJ70" s="226"/>
      <c r="AK70" s="226"/>
      <c r="AO70" s="88"/>
      <c r="AP70" s="88"/>
      <c r="AQ70" s="88"/>
      <c r="AR70" s="88"/>
      <c r="AS70" s="88"/>
      <c r="AT70" s="88"/>
      <c r="AU70" s="88"/>
      <c r="AV70" s="226"/>
    </row>
    <row r="71" spans="1:48" s="269" customFormat="1" ht="11.25" customHeight="1">
      <c r="A71" s="192"/>
      <c r="B71" s="193" t="s">
        <v>83</v>
      </c>
      <c r="C71" s="194"/>
      <c r="D71" s="195"/>
      <c r="E71" s="177">
        <f>'[2]2011 tulud'!$E70/15.6466</f>
        <v>0</v>
      </c>
      <c r="F71" s="178">
        <f>'[2]2011 tulud'!F70/15.6466</f>
        <v>0</v>
      </c>
      <c r="G71" s="179">
        <f>'[2]2011 tulud'!G70/15.6466</f>
        <v>0</v>
      </c>
      <c r="H71" s="179">
        <f>'[2]2011 tulud'!H70/15.6466</f>
        <v>0</v>
      </c>
      <c r="I71" s="180">
        <f>'[2]2011 tulud'!I70/15.6466</f>
        <v>383.4698912223742</v>
      </c>
      <c r="J71" s="307">
        <f t="shared" si="22"/>
        <v>32</v>
      </c>
      <c r="K71" s="201"/>
      <c r="L71" s="204"/>
      <c r="M71" s="204">
        <v>32</v>
      </c>
      <c r="N71" s="283">
        <f>I71+J71</f>
        <v>415.4698912223742</v>
      </c>
      <c r="O71" s="222"/>
      <c r="P71" s="201"/>
      <c r="Q71" s="204"/>
      <c r="R71" s="204"/>
      <c r="S71" s="165">
        <f t="shared" si="21"/>
        <v>415.4698912223742</v>
      </c>
      <c r="T71" s="224"/>
      <c r="U71" s="164"/>
      <c r="V71" s="164"/>
      <c r="W71" s="187"/>
      <c r="X71" s="188"/>
      <c r="Z71" s="110"/>
      <c r="AA71" s="110"/>
      <c r="AD71" s="109"/>
      <c r="AE71" s="88"/>
      <c r="AF71" s="88"/>
      <c r="AG71" s="226"/>
      <c r="AH71" s="226"/>
      <c r="AI71" s="226"/>
      <c r="AJ71" s="226"/>
      <c r="AK71" s="226"/>
      <c r="AO71" s="88"/>
      <c r="AP71" s="88"/>
      <c r="AQ71" s="88"/>
      <c r="AR71" s="88"/>
      <c r="AS71" s="88"/>
      <c r="AT71" s="88"/>
      <c r="AU71" s="88"/>
      <c r="AV71" s="226"/>
    </row>
    <row r="72" spans="1:48" s="269" customFormat="1" ht="11.25" customHeight="1">
      <c r="A72" s="192"/>
      <c r="B72" s="193" t="s">
        <v>85</v>
      </c>
      <c r="C72" s="194"/>
      <c r="D72" s="195"/>
      <c r="E72" s="177">
        <f>'[2]2011 tulud'!$E71/15.6466</f>
        <v>0</v>
      </c>
      <c r="F72" s="178">
        <f>'[2]2011 tulud'!F71/15.6466</f>
        <v>0</v>
      </c>
      <c r="G72" s="179">
        <f>'[2]2011 tulud'!G71/15.6466</f>
        <v>0</v>
      </c>
      <c r="H72" s="179">
        <f>'[2]2011 tulud'!H71/15.6466</f>
        <v>0</v>
      </c>
      <c r="I72" s="180">
        <f>'[2]2011 tulud'!I71/15.6466</f>
        <v>63.91164853706237</v>
      </c>
      <c r="J72" s="307">
        <f t="shared" si="22"/>
        <v>41</v>
      </c>
      <c r="K72" s="201"/>
      <c r="L72" s="204"/>
      <c r="M72" s="204">
        <v>41</v>
      </c>
      <c r="N72" s="283">
        <f t="shared" si="0"/>
        <v>104.91164853706238</v>
      </c>
      <c r="O72" s="222"/>
      <c r="P72" s="201"/>
      <c r="Q72" s="204"/>
      <c r="R72" s="204"/>
      <c r="S72" s="165">
        <f t="shared" si="21"/>
        <v>104.91164853706238</v>
      </c>
      <c r="T72" s="224"/>
      <c r="U72" s="164"/>
      <c r="V72" s="164"/>
      <c r="W72" s="187"/>
      <c r="X72" s="188"/>
      <c r="Z72" s="110"/>
      <c r="AA72" s="110"/>
      <c r="AD72" s="109"/>
      <c r="AE72" s="88"/>
      <c r="AF72" s="88"/>
      <c r="AG72" s="226"/>
      <c r="AH72" s="226"/>
      <c r="AI72" s="226"/>
      <c r="AJ72" s="226"/>
      <c r="AK72" s="226"/>
      <c r="AO72" s="88"/>
      <c r="AP72" s="88"/>
      <c r="AQ72" s="88"/>
      <c r="AR72" s="88"/>
      <c r="AS72" s="88"/>
      <c r="AT72" s="88"/>
      <c r="AU72" s="88"/>
      <c r="AV72" s="226"/>
    </row>
    <row r="73" spans="1:48" s="269" customFormat="1" ht="11.25" customHeight="1">
      <c r="A73" s="192"/>
      <c r="B73" s="193" t="s">
        <v>92</v>
      </c>
      <c r="C73" s="194"/>
      <c r="D73" s="195"/>
      <c r="E73" s="177">
        <f>'[2]2011 tulud'!$E72/15.6466</f>
        <v>0</v>
      </c>
      <c r="F73" s="178">
        <f>'[2]2011 tulud'!F72/15.6466</f>
        <v>0</v>
      </c>
      <c r="G73" s="179">
        <f>'[2]2011 tulud'!G72/15.6466</f>
        <v>0</v>
      </c>
      <c r="H73" s="179">
        <f>'[2]2011 tulud'!H72/15.6466</f>
        <v>0</v>
      </c>
      <c r="I73" s="180">
        <f>'[2]2011 tulud'!I72/15.6466</f>
        <v>2428.64264440837</v>
      </c>
      <c r="J73" s="307">
        <f t="shared" si="22"/>
        <v>-512</v>
      </c>
      <c r="K73" s="201"/>
      <c r="L73" s="204"/>
      <c r="M73" s="204">
        <v>-512</v>
      </c>
      <c r="N73" s="283">
        <f t="shared" si="0"/>
        <v>1916.64264440837</v>
      </c>
      <c r="O73" s="284">
        <f>P73+Q73+R73</f>
        <v>437</v>
      </c>
      <c r="P73" s="201"/>
      <c r="Q73" s="204"/>
      <c r="R73" s="204">
        <v>437</v>
      </c>
      <c r="S73" s="165">
        <f t="shared" si="21"/>
        <v>2353.64264440837</v>
      </c>
      <c r="T73" s="224"/>
      <c r="U73" s="164"/>
      <c r="V73" s="164"/>
      <c r="W73" s="187"/>
      <c r="X73" s="188"/>
      <c r="Z73" s="110"/>
      <c r="AA73" s="110"/>
      <c r="AD73" s="109"/>
      <c r="AE73" s="88"/>
      <c r="AF73" s="88"/>
      <c r="AG73" s="226"/>
      <c r="AH73" s="226"/>
      <c r="AI73" s="226"/>
      <c r="AJ73" s="226"/>
      <c r="AK73" s="226"/>
      <c r="AO73" s="88"/>
      <c r="AP73" s="88"/>
      <c r="AQ73" s="88"/>
      <c r="AR73" s="88"/>
      <c r="AS73" s="88"/>
      <c r="AT73" s="88"/>
      <c r="AU73" s="88"/>
      <c r="AV73" s="226"/>
    </row>
    <row r="74" spans="1:48" s="269" customFormat="1" ht="11.25" customHeight="1">
      <c r="A74" s="192"/>
      <c r="B74" s="193" t="s">
        <v>93</v>
      </c>
      <c r="C74" s="194"/>
      <c r="D74" s="195"/>
      <c r="E74" s="177">
        <f>'[2]2011 tulud'!$E73/15.6466</f>
        <v>0</v>
      </c>
      <c r="F74" s="178">
        <f>'[2]2011 tulud'!F73/15.6466</f>
        <v>0</v>
      </c>
      <c r="G74" s="179">
        <f>'[2]2011 tulud'!G73/15.6466</f>
        <v>0</v>
      </c>
      <c r="H74" s="179">
        <f>'[2]2011 tulud'!H73/15.6466</f>
        <v>0</v>
      </c>
      <c r="I74" s="180">
        <f>'[2]2011 tulud'!I73/15.6466</f>
        <v>4473.815397594366</v>
      </c>
      <c r="J74" s="307">
        <f t="shared" si="22"/>
        <v>0</v>
      </c>
      <c r="K74" s="201"/>
      <c r="L74" s="204"/>
      <c r="M74" s="204"/>
      <c r="N74" s="283">
        <f t="shared" si="0"/>
        <v>4473.815397594366</v>
      </c>
      <c r="O74" s="284">
        <f>P74+Q74+R74</f>
        <v>1256</v>
      </c>
      <c r="P74" s="201"/>
      <c r="Q74" s="204"/>
      <c r="R74" s="345">
        <v>1256</v>
      </c>
      <c r="S74" s="165">
        <f t="shared" si="21"/>
        <v>5729.815397594366</v>
      </c>
      <c r="T74" s="224"/>
      <c r="U74" s="164"/>
      <c r="V74" s="164"/>
      <c r="W74" s="187"/>
      <c r="X74" s="188"/>
      <c r="Z74" s="110"/>
      <c r="AA74" s="110"/>
      <c r="AD74" s="109"/>
      <c r="AE74" s="88"/>
      <c r="AF74" s="88"/>
      <c r="AG74" s="226"/>
      <c r="AH74" s="226"/>
      <c r="AI74" s="226"/>
      <c r="AJ74" s="226"/>
      <c r="AK74" s="226"/>
      <c r="AO74" s="88"/>
      <c r="AP74" s="88"/>
      <c r="AQ74" s="88"/>
      <c r="AR74" s="88"/>
      <c r="AS74" s="88"/>
      <c r="AT74" s="88"/>
      <c r="AU74" s="88"/>
      <c r="AV74" s="226"/>
    </row>
    <row r="75" spans="1:48" s="269" customFormat="1" ht="11.25" customHeight="1">
      <c r="A75" s="192"/>
      <c r="B75" s="193" t="s">
        <v>94</v>
      </c>
      <c r="C75" s="194"/>
      <c r="D75" s="195"/>
      <c r="E75" s="177">
        <f>'[2]2011 tulud'!$E74/15.6466</f>
        <v>0</v>
      </c>
      <c r="F75" s="178">
        <f>'[2]2011 tulud'!F74/15.6466</f>
        <v>0</v>
      </c>
      <c r="G75" s="179">
        <f>'[2]2011 tulud'!G74/15.6466</f>
        <v>0</v>
      </c>
      <c r="H75" s="179">
        <f>'[2]2011 tulud'!H74/15.6466</f>
        <v>0</v>
      </c>
      <c r="I75" s="180">
        <f>'[2]2011 tulud'!I74/15.6466</f>
        <v>2109.084401723058</v>
      </c>
      <c r="J75" s="307">
        <v>-2109</v>
      </c>
      <c r="K75" s="201"/>
      <c r="L75" s="204"/>
      <c r="M75" s="204">
        <v>-2109</v>
      </c>
      <c r="N75" s="283">
        <f t="shared" si="0"/>
        <v>0.08440172305790838</v>
      </c>
      <c r="O75" s="284">
        <f>P75+Q75+R75</f>
        <v>2000</v>
      </c>
      <c r="P75" s="201"/>
      <c r="Q75" s="204"/>
      <c r="R75" s="345">
        <v>2000</v>
      </c>
      <c r="S75" s="165">
        <f t="shared" si="21"/>
        <v>2000.084401723058</v>
      </c>
      <c r="T75" s="224"/>
      <c r="U75" s="164"/>
      <c r="V75" s="164"/>
      <c r="W75" s="187"/>
      <c r="X75" s="188"/>
      <c r="Z75" s="110"/>
      <c r="AA75" s="110"/>
      <c r="AD75" s="109"/>
      <c r="AE75" s="88"/>
      <c r="AF75" s="88"/>
      <c r="AG75" s="226"/>
      <c r="AH75" s="226"/>
      <c r="AI75" s="226"/>
      <c r="AJ75" s="226"/>
      <c r="AK75" s="226"/>
      <c r="AO75" s="88"/>
      <c r="AP75" s="88"/>
      <c r="AQ75" s="88"/>
      <c r="AR75" s="88"/>
      <c r="AS75" s="88"/>
      <c r="AT75" s="88"/>
      <c r="AU75" s="88"/>
      <c r="AV75" s="226"/>
    </row>
    <row r="76" spans="1:48" s="269" customFormat="1" ht="11.25" customHeight="1">
      <c r="A76" s="192"/>
      <c r="B76" s="193" t="s">
        <v>130</v>
      </c>
      <c r="C76" s="194"/>
      <c r="D76" s="195"/>
      <c r="E76" s="177">
        <f>'[2]2011 tulud'!$E75/15.6466</f>
        <v>0</v>
      </c>
      <c r="F76" s="178">
        <f>'[2]2011 tulud'!F75/15.6466</f>
        <v>0</v>
      </c>
      <c r="G76" s="179">
        <f>'[2]2011 tulud'!G75/15.6466</f>
        <v>0</v>
      </c>
      <c r="H76" s="179">
        <f>'[2]2011 tulud'!H75/15.6466</f>
        <v>0</v>
      </c>
      <c r="I76" s="180">
        <f>'[2]2011 tulud'!I75/15.6466</f>
        <v>54324.90125650301</v>
      </c>
      <c r="J76" s="307">
        <f t="shared" si="22"/>
        <v>2191</v>
      </c>
      <c r="K76" s="201"/>
      <c r="L76" s="204"/>
      <c r="M76" s="204">
        <f>1598+593</f>
        <v>2191</v>
      </c>
      <c r="N76" s="283">
        <f t="shared" si="0"/>
        <v>56515.90125650301</v>
      </c>
      <c r="O76" s="284">
        <f>P76+Q76+R76</f>
        <v>5484</v>
      </c>
      <c r="P76" s="201"/>
      <c r="Q76" s="204"/>
      <c r="R76" s="345">
        <v>5484</v>
      </c>
      <c r="S76" s="165">
        <f t="shared" si="21"/>
        <v>61999.90125650301</v>
      </c>
      <c r="T76" s="224"/>
      <c r="U76" s="164"/>
      <c r="V76" s="164"/>
      <c r="W76" s="187"/>
      <c r="X76" s="188"/>
      <c r="Z76" s="110"/>
      <c r="AA76" s="110"/>
      <c r="AD76" s="109"/>
      <c r="AE76" s="88"/>
      <c r="AF76" s="88"/>
      <c r="AG76" s="226"/>
      <c r="AH76" s="226"/>
      <c r="AI76" s="226"/>
      <c r="AJ76" s="226"/>
      <c r="AK76" s="226"/>
      <c r="AO76" s="88"/>
      <c r="AP76" s="88"/>
      <c r="AQ76" s="88"/>
      <c r="AR76" s="88"/>
      <c r="AS76" s="88"/>
      <c r="AT76" s="88"/>
      <c r="AU76" s="88"/>
      <c r="AV76" s="226"/>
    </row>
    <row r="77" spans="1:48" s="269" customFormat="1" ht="11.25" customHeight="1">
      <c r="A77" s="192"/>
      <c r="B77" s="193" t="s">
        <v>131</v>
      </c>
      <c r="C77" s="194"/>
      <c r="D77" s="195"/>
      <c r="E77" s="177"/>
      <c r="F77" s="178"/>
      <c r="G77" s="179"/>
      <c r="H77" s="179"/>
      <c r="I77" s="180"/>
      <c r="J77" s="307">
        <f t="shared" si="22"/>
        <v>-1598</v>
      </c>
      <c r="K77" s="201"/>
      <c r="L77" s="204"/>
      <c r="M77" s="204">
        <v>-1598</v>
      </c>
      <c r="N77" s="283">
        <f t="shared" si="0"/>
        <v>-1598</v>
      </c>
      <c r="O77" s="222"/>
      <c r="P77" s="201"/>
      <c r="Q77" s="204"/>
      <c r="R77" s="204"/>
      <c r="S77" s="165">
        <f t="shared" si="21"/>
        <v>-1598</v>
      </c>
      <c r="T77" s="224"/>
      <c r="U77" s="164"/>
      <c r="V77" s="164"/>
      <c r="W77" s="187"/>
      <c r="X77" s="188"/>
      <c r="Z77" s="110"/>
      <c r="AA77" s="110"/>
      <c r="AD77" s="109"/>
      <c r="AE77" s="88"/>
      <c r="AF77" s="88"/>
      <c r="AG77" s="226"/>
      <c r="AH77" s="226"/>
      <c r="AI77" s="226"/>
      <c r="AJ77" s="226"/>
      <c r="AK77" s="226"/>
      <c r="AO77" s="88"/>
      <c r="AP77" s="88"/>
      <c r="AQ77" s="88"/>
      <c r="AR77" s="88"/>
      <c r="AS77" s="88"/>
      <c r="AT77" s="88"/>
      <c r="AU77" s="88"/>
      <c r="AV77" s="226"/>
    </row>
    <row r="78" spans="1:48" s="269" customFormat="1" ht="11.25" customHeight="1">
      <c r="A78" s="192"/>
      <c r="B78" s="193" t="s">
        <v>132</v>
      </c>
      <c r="C78" s="194"/>
      <c r="D78" s="195"/>
      <c r="E78" s="177">
        <f>'[2]2011 tulud'!$E76/15.6466</f>
        <v>0</v>
      </c>
      <c r="F78" s="178">
        <f>'[2]2011 tulud'!F76/15.6466</f>
        <v>0</v>
      </c>
      <c r="G78" s="179">
        <f>'[2]2011 tulud'!G76/15.6466</f>
        <v>0</v>
      </c>
      <c r="H78" s="179">
        <f>'[2]2011 tulud'!H76/15.6466</f>
        <v>0</v>
      </c>
      <c r="I78" s="180">
        <f>'[2]2011 tulud'!I76/15.6466</f>
        <v>830.8514309818107</v>
      </c>
      <c r="J78" s="307">
        <f t="shared" si="22"/>
        <v>0</v>
      </c>
      <c r="K78" s="201"/>
      <c r="L78" s="204"/>
      <c r="M78" s="204"/>
      <c r="N78" s="283">
        <f t="shared" si="0"/>
        <v>830.8514309818107</v>
      </c>
      <c r="O78" s="222"/>
      <c r="P78" s="201"/>
      <c r="Q78" s="204"/>
      <c r="R78" s="204"/>
      <c r="S78" s="165">
        <f t="shared" si="21"/>
        <v>830.8514309818107</v>
      </c>
      <c r="T78" s="224"/>
      <c r="U78" s="164"/>
      <c r="V78" s="164"/>
      <c r="W78" s="187"/>
      <c r="X78" s="188"/>
      <c r="Z78" s="110"/>
      <c r="AA78" s="110"/>
      <c r="AD78" s="109"/>
      <c r="AE78" s="88"/>
      <c r="AF78" s="88"/>
      <c r="AG78" s="226"/>
      <c r="AH78" s="226"/>
      <c r="AI78" s="226"/>
      <c r="AJ78" s="226"/>
      <c r="AK78" s="226"/>
      <c r="AO78" s="88"/>
      <c r="AP78" s="88"/>
      <c r="AQ78" s="88"/>
      <c r="AR78" s="88"/>
      <c r="AS78" s="88"/>
      <c r="AT78" s="88"/>
      <c r="AU78" s="88"/>
      <c r="AV78" s="226"/>
    </row>
    <row r="79" spans="1:48" s="269" customFormat="1" ht="12" customHeight="1">
      <c r="A79" s="192" t="s">
        <v>133</v>
      </c>
      <c r="B79" s="193" t="s">
        <v>134</v>
      </c>
      <c r="C79" s="194">
        <v>1100000</v>
      </c>
      <c r="D79" s="195">
        <v>700000</v>
      </c>
      <c r="E79" s="177">
        <f>'[2]2011 tulud'!$E77/15.6466</f>
        <v>35151.4066953843</v>
      </c>
      <c r="F79" s="178">
        <f>'[2]2011 tulud'!F77/15.6466</f>
        <v>46335.94518937021</v>
      </c>
      <c r="G79" s="179">
        <f>'[2]2011 tulud'!G77/15.6466</f>
        <v>31955.824268531185</v>
      </c>
      <c r="H79" s="179">
        <f>'[2]2011 tulud'!H77/15.6466</f>
        <v>31955.824268531185</v>
      </c>
      <c r="I79" s="180">
        <f>'[2]2011 tulud'!I77/15.6466</f>
        <v>38346.98912223742</v>
      </c>
      <c r="J79" s="307">
        <f t="shared" si="22"/>
        <v>0</v>
      </c>
      <c r="K79" s="201"/>
      <c r="L79" s="204"/>
      <c r="M79" s="204"/>
      <c r="N79" s="283">
        <f t="shared" si="0"/>
        <v>38346.98912223742</v>
      </c>
      <c r="O79" s="284">
        <f>P79+Q79+R79</f>
        <v>40900</v>
      </c>
      <c r="P79" s="201"/>
      <c r="Q79" s="204">
        <v>40900</v>
      </c>
      <c r="R79" s="204"/>
      <c r="S79" s="165">
        <f t="shared" si="21"/>
        <v>79246.98912223743</v>
      </c>
      <c r="T79" s="224"/>
      <c r="U79" s="164"/>
      <c r="V79" s="164">
        <f aca="true" t="shared" si="23" ref="V79:V84">S79+T79</f>
        <v>79246.98912223743</v>
      </c>
      <c r="W79" s="187">
        <f t="shared" si="2"/>
        <v>6391.164853706236</v>
      </c>
      <c r="X79" s="188">
        <f t="shared" si="20"/>
        <v>90.90909090909092</v>
      </c>
      <c r="Y79" s="109"/>
      <c r="Z79" s="190"/>
      <c r="AA79" s="148"/>
      <c r="AB79" s="148"/>
      <c r="AC79" s="148"/>
      <c r="AD79" s="148"/>
      <c r="AE79" s="88"/>
      <c r="AF79" s="88"/>
      <c r="AG79" s="226"/>
      <c r="AH79" s="226"/>
      <c r="AI79" s="226"/>
      <c r="AJ79" s="226"/>
      <c r="AK79" s="226"/>
      <c r="AO79" s="88"/>
      <c r="AP79" s="88"/>
      <c r="AQ79" s="88"/>
      <c r="AR79" s="88"/>
      <c r="AS79" s="88"/>
      <c r="AT79" s="88"/>
      <c r="AU79" s="88"/>
      <c r="AV79" s="226"/>
    </row>
    <row r="80" spans="1:48" s="269" customFormat="1" ht="11.25" customHeight="1" hidden="1">
      <c r="A80" s="346"/>
      <c r="B80" s="347" t="s">
        <v>135</v>
      </c>
      <c r="C80" s="348">
        <v>600000</v>
      </c>
      <c r="D80" s="291"/>
      <c r="E80" s="177">
        <f>'[2]2011 tulud'!$E78/15.6466</f>
        <v>0</v>
      </c>
      <c r="F80" s="178">
        <f>'[2]2011 tulud'!F78/15.6466</f>
        <v>0</v>
      </c>
      <c r="G80" s="179">
        <f>'[2]2011 tulud'!G78/15.6466</f>
        <v>0</v>
      </c>
      <c r="H80" s="179">
        <f>'[2]2011 tulud'!H78/15.6466</f>
        <v>0</v>
      </c>
      <c r="I80" s="180">
        <f>'[2]2011 tulud'!I78/15.6466</f>
        <v>0</v>
      </c>
      <c r="J80" s="301"/>
      <c r="K80" s="302"/>
      <c r="L80" s="312"/>
      <c r="M80" s="312"/>
      <c r="N80" s="283">
        <f t="shared" si="0"/>
        <v>0</v>
      </c>
      <c r="O80" s="349"/>
      <c r="P80" s="302"/>
      <c r="Q80" s="312"/>
      <c r="R80" s="312"/>
      <c r="S80" s="350">
        <f t="shared" si="21"/>
        <v>0</v>
      </c>
      <c r="T80" s="295"/>
      <c r="U80" s="292"/>
      <c r="V80" s="292">
        <f t="shared" si="23"/>
        <v>0</v>
      </c>
      <c r="W80" s="187">
        <f t="shared" si="2"/>
        <v>0</v>
      </c>
      <c r="X80" s="188" t="e">
        <f t="shared" si="20"/>
        <v>#DIV/0!</v>
      </c>
      <c r="Y80" s="109"/>
      <c r="Z80" s="110"/>
      <c r="AA80" s="110"/>
      <c r="AB80" s="110"/>
      <c r="AC80" s="111"/>
      <c r="AD80" s="226"/>
      <c r="AE80" s="226"/>
      <c r="AF80" s="226"/>
      <c r="AG80" s="226"/>
      <c r="AH80" s="226"/>
      <c r="AI80" s="226"/>
      <c r="AJ80" s="226"/>
      <c r="AK80" s="226"/>
      <c r="AO80" s="226"/>
      <c r="AP80" s="226"/>
      <c r="AQ80" s="226"/>
      <c r="AR80" s="226"/>
      <c r="AS80" s="226"/>
      <c r="AT80" s="226"/>
      <c r="AU80" s="226"/>
      <c r="AV80" s="226"/>
    </row>
    <row r="81" spans="1:48" s="269" customFormat="1" ht="11.25" customHeight="1" hidden="1">
      <c r="A81" s="346"/>
      <c r="B81" s="347" t="s">
        <v>136</v>
      </c>
      <c r="C81" s="348"/>
      <c r="D81" s="291"/>
      <c r="E81" s="177">
        <f>'[2]2011 tulud'!$E79/15.6466</f>
        <v>0</v>
      </c>
      <c r="F81" s="178">
        <f>'[2]2011 tulud'!F79/15.6466</f>
        <v>0</v>
      </c>
      <c r="G81" s="179">
        <f>'[2]2011 tulud'!G79/15.6466</f>
        <v>0</v>
      </c>
      <c r="H81" s="179">
        <f>'[2]2011 tulud'!H79/15.6466</f>
        <v>0</v>
      </c>
      <c r="I81" s="180">
        <f>'[2]2011 tulud'!I79/15.6466</f>
        <v>0</v>
      </c>
      <c r="J81" s="301"/>
      <c r="K81" s="302"/>
      <c r="L81" s="312"/>
      <c r="M81" s="312"/>
      <c r="N81" s="283">
        <f t="shared" si="0"/>
        <v>0</v>
      </c>
      <c r="O81" s="349"/>
      <c r="P81" s="302"/>
      <c r="Q81" s="312"/>
      <c r="R81" s="312"/>
      <c r="S81" s="350">
        <f t="shared" si="21"/>
        <v>0</v>
      </c>
      <c r="T81" s="295"/>
      <c r="U81" s="292"/>
      <c r="V81" s="292">
        <f t="shared" si="23"/>
        <v>0</v>
      </c>
      <c r="W81" s="187">
        <f t="shared" si="2"/>
        <v>0</v>
      </c>
      <c r="X81" s="188" t="e">
        <f t="shared" si="20"/>
        <v>#DIV/0!</v>
      </c>
      <c r="Y81" s="109"/>
      <c r="Z81" s="110"/>
      <c r="AA81" s="110"/>
      <c r="AB81" s="110"/>
      <c r="AC81" s="111"/>
      <c r="AD81" s="226"/>
      <c r="AE81" s="226"/>
      <c r="AF81" s="226"/>
      <c r="AG81" s="226"/>
      <c r="AH81" s="226"/>
      <c r="AI81" s="226"/>
      <c r="AJ81" s="226"/>
      <c r="AK81" s="226"/>
      <c r="AO81" s="226"/>
      <c r="AP81" s="226"/>
      <c r="AQ81" s="226"/>
      <c r="AR81" s="226"/>
      <c r="AS81" s="226"/>
      <c r="AT81" s="226"/>
      <c r="AU81" s="226"/>
      <c r="AV81" s="226"/>
    </row>
    <row r="82" spans="1:48" s="269" customFormat="1" ht="11.25" customHeight="1" hidden="1">
      <c r="A82" s="346"/>
      <c r="B82" s="347" t="s">
        <v>137</v>
      </c>
      <c r="C82" s="348"/>
      <c r="D82" s="291"/>
      <c r="E82" s="177">
        <f>'[2]2011 tulud'!$E80/15.6466</f>
        <v>0</v>
      </c>
      <c r="F82" s="178">
        <f>'[2]2011 tulud'!F80/15.6466</f>
        <v>0</v>
      </c>
      <c r="G82" s="179">
        <f>'[2]2011 tulud'!G80/15.6466</f>
        <v>0</v>
      </c>
      <c r="H82" s="179">
        <f>'[2]2011 tulud'!H80/15.6466</f>
        <v>0</v>
      </c>
      <c r="I82" s="180">
        <f>'[2]2011 tulud'!I80/15.6466</f>
        <v>0</v>
      </c>
      <c r="J82" s="301"/>
      <c r="K82" s="302"/>
      <c r="L82" s="312"/>
      <c r="M82" s="312"/>
      <c r="N82" s="283">
        <f t="shared" si="0"/>
        <v>0</v>
      </c>
      <c r="O82" s="349"/>
      <c r="P82" s="302"/>
      <c r="Q82" s="312"/>
      <c r="R82" s="312"/>
      <c r="S82" s="350">
        <f t="shared" si="21"/>
        <v>0</v>
      </c>
      <c r="T82" s="295"/>
      <c r="U82" s="292"/>
      <c r="V82" s="292">
        <f t="shared" si="23"/>
        <v>0</v>
      </c>
      <c r="W82" s="187">
        <f t="shared" si="2"/>
        <v>0</v>
      </c>
      <c r="X82" s="188" t="e">
        <f t="shared" si="20"/>
        <v>#DIV/0!</v>
      </c>
      <c r="Y82" s="109"/>
      <c r="Z82" s="110"/>
      <c r="AA82" s="110"/>
      <c r="AB82" s="110"/>
      <c r="AC82" s="111"/>
      <c r="AD82" s="226"/>
      <c r="AE82" s="226"/>
      <c r="AF82" s="226"/>
      <c r="AG82" s="226"/>
      <c r="AH82" s="226"/>
      <c r="AI82" s="226"/>
      <c r="AJ82" s="226"/>
      <c r="AK82" s="226"/>
      <c r="AO82" s="226"/>
      <c r="AP82" s="226"/>
      <c r="AQ82" s="226"/>
      <c r="AR82" s="226"/>
      <c r="AS82" s="226"/>
      <c r="AT82" s="226"/>
      <c r="AU82" s="226"/>
      <c r="AV82" s="226"/>
    </row>
    <row r="83" spans="1:48" s="269" customFormat="1" ht="11.25" customHeight="1">
      <c r="A83" s="192" t="s">
        <v>138</v>
      </c>
      <c r="B83" s="193" t="s">
        <v>139</v>
      </c>
      <c r="C83" s="194"/>
      <c r="D83" s="195">
        <v>100000</v>
      </c>
      <c r="E83" s="177">
        <f>'[2]2011 tulud'!$E81/15.6466</f>
        <v>33873.17372464306</v>
      </c>
      <c r="F83" s="178">
        <f>'[2]2011 tulud'!F81/15.6466</f>
        <v>74137.51230299234</v>
      </c>
      <c r="G83" s="179">
        <f>'[2]2011 tulud'!G81/15.6466</f>
        <v>60716.06611020925</v>
      </c>
      <c r="H83" s="179">
        <f>'[2]2011 tulud'!H81/15.6466</f>
        <v>3838.9809926757252</v>
      </c>
      <c r="I83" s="180">
        <f>'[2]2011 tulud'!I81/15.6466</f>
        <v>63.91164853706237</v>
      </c>
      <c r="J83" s="307">
        <f>K83+L83+M83</f>
        <v>0</v>
      </c>
      <c r="K83" s="201"/>
      <c r="L83" s="204"/>
      <c r="M83" s="204"/>
      <c r="N83" s="283">
        <f t="shared" si="0"/>
        <v>63.91164853706237</v>
      </c>
      <c r="O83" s="222"/>
      <c r="P83" s="201"/>
      <c r="Q83" s="204"/>
      <c r="R83" s="204"/>
      <c r="S83" s="165">
        <f t="shared" si="21"/>
        <v>63.91164853706237</v>
      </c>
      <c r="T83" s="224"/>
      <c r="U83" s="164"/>
      <c r="V83" s="164">
        <f t="shared" si="23"/>
        <v>63.91164853706237</v>
      </c>
      <c r="W83" s="187">
        <f t="shared" si="2"/>
        <v>-60652.15446167219</v>
      </c>
      <c r="X83" s="188">
        <f t="shared" si="20"/>
        <v>179.2452830188679</v>
      </c>
      <c r="Y83" s="109"/>
      <c r="Z83" s="110"/>
      <c r="AA83" s="110"/>
      <c r="AB83" s="110"/>
      <c r="AC83" s="111"/>
      <c r="AD83" s="226"/>
      <c r="AE83" s="226"/>
      <c r="AF83" s="226"/>
      <c r="AG83" s="226"/>
      <c r="AH83" s="226"/>
      <c r="AI83" s="226"/>
      <c r="AJ83" s="226"/>
      <c r="AK83" s="226"/>
      <c r="AO83" s="226"/>
      <c r="AP83" s="226"/>
      <c r="AQ83" s="226"/>
      <c r="AR83" s="226"/>
      <c r="AS83" s="226"/>
      <c r="AT83" s="226"/>
      <c r="AU83" s="226"/>
      <c r="AV83" s="226"/>
    </row>
    <row r="84" spans="1:48" s="269" customFormat="1" ht="11.25" customHeight="1" hidden="1">
      <c r="A84" s="192" t="s">
        <v>140</v>
      </c>
      <c r="B84" s="193" t="s">
        <v>141</v>
      </c>
      <c r="C84" s="194">
        <v>50000</v>
      </c>
      <c r="D84" s="195"/>
      <c r="E84" s="177">
        <f>'[2]2011 tulud'!$E82/15.6466</f>
        <v>0</v>
      </c>
      <c r="F84" s="178">
        <f>'[2]2011 tulud'!F82/15.6466</f>
        <v>0</v>
      </c>
      <c r="G84" s="179">
        <f>'[2]2011 tulud'!G82/15.6466</f>
        <v>0</v>
      </c>
      <c r="H84" s="179">
        <f>'[2]2011 tulud'!H82/15.6466</f>
        <v>0</v>
      </c>
      <c r="I84" s="180">
        <f>'[2]2011 tulud'!I82/15.6466</f>
        <v>0</v>
      </c>
      <c r="J84" s="279"/>
      <c r="K84" s="164"/>
      <c r="L84" s="225"/>
      <c r="M84" s="225"/>
      <c r="N84" s="283">
        <f t="shared" si="0"/>
        <v>0</v>
      </c>
      <c r="O84" s="222"/>
      <c r="P84" s="164"/>
      <c r="Q84" s="225"/>
      <c r="R84" s="225"/>
      <c r="S84" s="165">
        <f t="shared" si="21"/>
        <v>0</v>
      </c>
      <c r="T84" s="224"/>
      <c r="U84" s="164"/>
      <c r="V84" s="164">
        <f t="shared" si="23"/>
        <v>0</v>
      </c>
      <c r="W84" s="187">
        <f t="shared" si="2"/>
        <v>0</v>
      </c>
      <c r="X84" s="188" t="e">
        <f t="shared" si="20"/>
        <v>#DIV/0!</v>
      </c>
      <c r="Y84" s="109"/>
      <c r="Z84" s="110"/>
      <c r="AA84" s="110"/>
      <c r="AB84" s="110"/>
      <c r="AC84" s="7"/>
      <c r="AD84" s="111"/>
      <c r="AE84" s="226"/>
      <c r="AF84" s="226"/>
      <c r="AG84" s="226"/>
      <c r="AH84" s="226"/>
      <c r="AI84" s="226"/>
      <c r="AJ84" s="226"/>
      <c r="AK84" s="226"/>
      <c r="AO84" s="226"/>
      <c r="AP84" s="226"/>
      <c r="AQ84" s="226"/>
      <c r="AR84" s="226"/>
      <c r="AS84" s="226"/>
      <c r="AT84" s="226"/>
      <c r="AU84" s="226"/>
      <c r="AV84" s="226"/>
    </row>
    <row r="85" spans="1:256" s="358" customFormat="1" ht="11.25" customHeight="1">
      <c r="A85" s="351" t="s">
        <v>142</v>
      </c>
      <c r="B85" s="253" t="s">
        <v>143</v>
      </c>
      <c r="C85" s="254"/>
      <c r="D85" s="255">
        <v>0</v>
      </c>
      <c r="E85" s="256">
        <f>'[2]2011 tulud'!$E83/15.6466</f>
        <v>0</v>
      </c>
      <c r="F85" s="257">
        <f>'[2]2011 tulud'!F83/15.6466</f>
        <v>2626808.571830302</v>
      </c>
      <c r="G85" s="258">
        <f>'[2]2011 tulud'!G83/15.6466</f>
        <v>0</v>
      </c>
      <c r="H85" s="258">
        <f>'[2]2011 tulud'!H83/15.6466</f>
        <v>2600264.402489998</v>
      </c>
      <c r="I85" s="259">
        <f>'[2]2011 tulud'!I83/15.6466</f>
        <v>0</v>
      </c>
      <c r="J85" s="352">
        <f>J86+J123</f>
        <v>2889719</v>
      </c>
      <c r="K85" s="264">
        <f>K86+K123</f>
        <v>2889719</v>
      </c>
      <c r="L85" s="353"/>
      <c r="M85" s="353"/>
      <c r="N85" s="263">
        <f t="shared" si="0"/>
        <v>2889719</v>
      </c>
      <c r="O85" s="354">
        <f>P85+Q85+R85</f>
        <v>363130</v>
      </c>
      <c r="P85" s="264">
        <f>P86+P123</f>
        <v>334584</v>
      </c>
      <c r="Q85" s="264">
        <f aca="true" t="shared" si="24" ref="Q85:V85">Q86+Q123</f>
        <v>27998</v>
      </c>
      <c r="R85" s="264">
        <f t="shared" si="24"/>
        <v>548</v>
      </c>
      <c r="S85" s="355">
        <f t="shared" si="24"/>
        <v>3252849</v>
      </c>
      <c r="T85" s="356">
        <f t="shared" si="24"/>
        <v>0</v>
      </c>
      <c r="U85" s="357">
        <f t="shared" si="24"/>
        <v>0</v>
      </c>
      <c r="V85" s="357">
        <f t="shared" si="24"/>
        <v>3203876</v>
      </c>
      <c r="W85" s="187">
        <f t="shared" si="2"/>
        <v>2889719</v>
      </c>
      <c r="X85" s="188"/>
      <c r="Y85" s="109"/>
      <c r="Z85" s="110"/>
      <c r="AA85" s="110"/>
      <c r="AB85" s="110"/>
      <c r="AC85" s="131"/>
      <c r="AD85" s="111"/>
      <c r="AE85" s="131"/>
      <c r="AF85" s="226"/>
      <c r="AG85" s="226"/>
      <c r="AH85" s="226"/>
      <c r="AI85" s="226"/>
      <c r="AJ85" s="226"/>
      <c r="AK85" s="226"/>
      <c r="AO85" s="226"/>
      <c r="AP85" s="226"/>
      <c r="AQ85" s="226"/>
      <c r="AR85" s="226"/>
      <c r="AS85" s="226"/>
      <c r="AT85" s="226"/>
      <c r="AU85" s="226"/>
      <c r="AV85" s="226"/>
      <c r="IV85" s="269"/>
    </row>
    <row r="86" spans="1:256" s="191" customFormat="1" ht="11.25" customHeight="1">
      <c r="A86" s="227" t="s">
        <v>144</v>
      </c>
      <c r="B86" s="281" t="s">
        <v>145</v>
      </c>
      <c r="C86" s="229">
        <v>0</v>
      </c>
      <c r="D86" s="230">
        <v>0</v>
      </c>
      <c r="E86" s="177">
        <f>'[2]2011 tulud'!$E84/15.6466</f>
        <v>0</v>
      </c>
      <c r="F86" s="178">
        <f>'[2]2011 tulud'!F84/15.6466</f>
        <v>227939.2967162195</v>
      </c>
      <c r="G86" s="179">
        <f>'[2]2011 tulud'!G84/15.6466</f>
        <v>0</v>
      </c>
      <c r="H86" s="179">
        <f>'[2]2011 tulud'!H84/15.6466</f>
        <v>191416.66560147254</v>
      </c>
      <c r="I86" s="180">
        <f>'[2]2011 tulud'!I84/15.6466</f>
        <v>0</v>
      </c>
      <c r="J86" s="282">
        <f>J87+J109</f>
        <v>183694</v>
      </c>
      <c r="K86" s="344">
        <f>K87+K109</f>
        <v>183694</v>
      </c>
      <c r="L86" s="359"/>
      <c r="M86" s="359"/>
      <c r="N86" s="283">
        <f t="shared" si="0"/>
        <v>183694</v>
      </c>
      <c r="O86" s="360">
        <f aca="true" t="shared" si="25" ref="O86:V86">O87+O109</f>
        <v>239615</v>
      </c>
      <c r="P86" s="344">
        <f>P87+P109</f>
        <v>239615</v>
      </c>
      <c r="Q86" s="359"/>
      <c r="R86" s="359"/>
      <c r="S86" s="343">
        <f t="shared" si="25"/>
        <v>423309</v>
      </c>
      <c r="T86" s="344">
        <f t="shared" si="25"/>
        <v>0</v>
      </c>
      <c r="U86" s="185">
        <f t="shared" si="25"/>
        <v>0</v>
      </c>
      <c r="V86" s="185">
        <f t="shared" si="25"/>
        <v>374267</v>
      </c>
      <c r="W86" s="187">
        <f t="shared" si="2"/>
        <v>183694</v>
      </c>
      <c r="X86" s="188"/>
      <c r="Y86" s="109"/>
      <c r="Z86" s="110"/>
      <c r="AA86" s="110"/>
      <c r="AB86" s="110"/>
      <c r="AC86" s="148"/>
      <c r="AD86" s="111"/>
      <c r="AE86" s="190"/>
      <c r="AF86" s="190"/>
      <c r="AG86" s="190"/>
      <c r="AH86" s="190"/>
      <c r="AI86" s="190"/>
      <c r="AJ86" s="190"/>
      <c r="AK86" s="190"/>
      <c r="AO86" s="190"/>
      <c r="AP86" s="190"/>
      <c r="AQ86" s="190"/>
      <c r="AR86" s="190"/>
      <c r="AS86" s="190"/>
      <c r="AT86" s="190"/>
      <c r="AU86" s="190"/>
      <c r="AV86" s="190"/>
      <c r="IV86" s="190"/>
    </row>
    <row r="87" spans="1:256" s="363" customFormat="1" ht="11.25" customHeight="1">
      <c r="A87" s="346" t="s">
        <v>146</v>
      </c>
      <c r="B87" s="347" t="s">
        <v>147</v>
      </c>
      <c r="C87" s="348">
        <v>0</v>
      </c>
      <c r="D87" s="291">
        <v>0</v>
      </c>
      <c r="E87" s="177">
        <f>'[2]2011 tulud'!$E85/15.6466</f>
        <v>0</v>
      </c>
      <c r="F87" s="178">
        <f>'[2]2011 tulud'!F85/15.6466</f>
        <v>76666.81579384659</v>
      </c>
      <c r="G87" s="179">
        <f>'[2]2011 tulud'!G85/15.6466</f>
        <v>0</v>
      </c>
      <c r="H87" s="179">
        <f>'[2]2011 tulud'!H85/15.6466</f>
        <v>71895.4916723122</v>
      </c>
      <c r="I87" s="180">
        <f>'[2]2011 tulud'!I85/15.6466</f>
        <v>0</v>
      </c>
      <c r="J87" s="299">
        <f>SUM(J88:J108)</f>
        <v>42241</v>
      </c>
      <c r="K87" s="292">
        <f>SUM(K88:K108)</f>
        <v>42241</v>
      </c>
      <c r="L87" s="361"/>
      <c r="M87" s="361"/>
      <c r="N87" s="283">
        <f t="shared" si="0"/>
        <v>42241</v>
      </c>
      <c r="O87" s="362">
        <f aca="true" t="shared" si="26" ref="O87:V87">SUM(O88:O108)</f>
        <v>65870</v>
      </c>
      <c r="P87" s="292">
        <f t="shared" si="26"/>
        <v>65870</v>
      </c>
      <c r="Q87" s="361"/>
      <c r="R87" s="361"/>
      <c r="S87" s="350">
        <f t="shared" si="26"/>
        <v>108111</v>
      </c>
      <c r="T87" s="295">
        <f t="shared" si="26"/>
        <v>0</v>
      </c>
      <c r="U87" s="292">
        <f t="shared" si="26"/>
        <v>0</v>
      </c>
      <c r="V87" s="292">
        <f t="shared" si="26"/>
        <v>108111</v>
      </c>
      <c r="W87" s="187">
        <f t="shared" si="2"/>
        <v>42241</v>
      </c>
      <c r="X87" s="188"/>
      <c r="Y87" s="109"/>
      <c r="Z87" s="110"/>
      <c r="AA87" s="110"/>
      <c r="AB87" s="110"/>
      <c r="AC87" s="298"/>
      <c r="AD87" s="111"/>
      <c r="AE87" s="324"/>
      <c r="AF87" s="324"/>
      <c r="AG87" s="324"/>
      <c r="AH87" s="324"/>
      <c r="AI87" s="324"/>
      <c r="AJ87" s="324"/>
      <c r="AK87" s="324"/>
      <c r="AO87" s="324"/>
      <c r="AP87" s="324"/>
      <c r="AQ87" s="324"/>
      <c r="AR87" s="324"/>
      <c r="AS87" s="324"/>
      <c r="AT87" s="324"/>
      <c r="AU87" s="324"/>
      <c r="AV87" s="324"/>
      <c r="IV87" s="324"/>
    </row>
    <row r="88" spans="1:256" s="149" customFormat="1" ht="11.25" customHeight="1" hidden="1" thickBot="1">
      <c r="A88" s="192" t="s">
        <v>148</v>
      </c>
      <c r="B88" s="193" t="s">
        <v>149</v>
      </c>
      <c r="C88" s="194">
        <v>0</v>
      </c>
      <c r="D88" s="195"/>
      <c r="E88" s="177">
        <f>'[2]2011 tulud'!$E86/15.6466</f>
        <v>0</v>
      </c>
      <c r="F88" s="178">
        <f>'[2]2011 tulud'!F86/15.6466</f>
        <v>0</v>
      </c>
      <c r="G88" s="179">
        <f>'[2]2011 tulud'!G86/15.6466</f>
        <v>0</v>
      </c>
      <c r="H88" s="179">
        <f>'[2]2011 tulud'!H86/15.6466</f>
        <v>0</v>
      </c>
      <c r="I88" s="180">
        <f>'[2]2011 tulud'!I86/15.6466</f>
        <v>0</v>
      </c>
      <c r="J88" s="208"/>
      <c r="K88" s="209"/>
      <c r="L88" s="232"/>
      <c r="M88" s="215"/>
      <c r="N88" s="283">
        <f t="shared" si="0"/>
        <v>0</v>
      </c>
      <c r="O88" s="364"/>
      <c r="P88" s="209"/>
      <c r="Q88" s="232"/>
      <c r="R88" s="215"/>
      <c r="S88" s="365">
        <f aca="true" t="shared" si="27" ref="S88:S96">N88+O88</f>
        <v>0</v>
      </c>
      <c r="T88" s="213"/>
      <c r="U88" s="214"/>
      <c r="V88" s="215">
        <f aca="true" t="shared" si="28" ref="V88:V98">S88+T88</f>
        <v>0</v>
      </c>
      <c r="W88" s="332">
        <f t="shared" si="2"/>
        <v>0</v>
      </c>
      <c r="X88" s="108" t="e">
        <f>G88/E88*100</f>
        <v>#DIV/0!</v>
      </c>
      <c r="Y88" s="109"/>
      <c r="Z88" s="110"/>
      <c r="AA88" s="110"/>
      <c r="AB88" s="110"/>
      <c r="AC88" s="7"/>
      <c r="AD88" s="111"/>
      <c r="AE88" s="88"/>
      <c r="AF88" s="88"/>
      <c r="AG88" s="88"/>
      <c r="AH88" s="88"/>
      <c r="AI88" s="88"/>
      <c r="AJ88" s="88"/>
      <c r="AK88" s="88"/>
      <c r="IV88" s="88"/>
    </row>
    <row r="89" spans="1:37" ht="11.25" customHeight="1" hidden="1" thickBot="1">
      <c r="A89" s="316" t="s">
        <v>150</v>
      </c>
      <c r="B89" s="317" t="s">
        <v>151</v>
      </c>
      <c r="C89" s="318"/>
      <c r="D89" s="325"/>
      <c r="E89" s="177">
        <f>'[2]2011 tulud'!$E87/15.6466</f>
        <v>0</v>
      </c>
      <c r="F89" s="178">
        <f>'[2]2011 tulud'!F87/15.6466</f>
        <v>0</v>
      </c>
      <c r="G89" s="179">
        <f>'[2]2011 tulud'!G87/15.6466</f>
        <v>0</v>
      </c>
      <c r="H89" s="179">
        <f>'[2]2011 tulud'!H87/15.6466</f>
        <v>0</v>
      </c>
      <c r="I89" s="180">
        <f>'[2]2011 tulud'!I87/15.6466</f>
        <v>0</v>
      </c>
      <c r="J89" s="366"/>
      <c r="K89" s="367"/>
      <c r="L89" s="368"/>
      <c r="M89" s="369"/>
      <c r="N89" s="283">
        <f t="shared" si="0"/>
        <v>0</v>
      </c>
      <c r="O89" s="370"/>
      <c r="P89" s="367"/>
      <c r="Q89" s="368"/>
      <c r="R89" s="369"/>
      <c r="S89" s="371">
        <f t="shared" si="27"/>
        <v>0</v>
      </c>
      <c r="T89" s="224"/>
      <c r="U89" s="164"/>
      <c r="V89" s="225">
        <f t="shared" si="28"/>
        <v>0</v>
      </c>
      <c r="W89" s="296">
        <f t="shared" si="2"/>
        <v>0</v>
      </c>
      <c r="X89" s="108" t="e">
        <f>G89/E89*100</f>
        <v>#DIV/0!</v>
      </c>
      <c r="Y89" s="109"/>
      <c r="Z89" s="110"/>
      <c r="AA89" s="110"/>
      <c r="AB89" s="110"/>
      <c r="AC89" s="7"/>
      <c r="AD89" s="111"/>
      <c r="AE89" s="88"/>
      <c r="AF89" s="88"/>
      <c r="AG89" s="88"/>
      <c r="AH89" s="88"/>
      <c r="AI89" s="88"/>
      <c r="AJ89" s="88"/>
      <c r="AK89" s="88"/>
    </row>
    <row r="90" spans="1:37" ht="11.25" customHeight="1" hidden="1" thickBot="1">
      <c r="A90" s="316" t="s">
        <v>152</v>
      </c>
      <c r="B90" s="317" t="s">
        <v>153</v>
      </c>
      <c r="C90" s="318"/>
      <c r="D90" s="325"/>
      <c r="E90" s="177">
        <f>'[2]2011 tulud'!$E88/15.6466</f>
        <v>0</v>
      </c>
      <c r="F90" s="178">
        <f>'[2]2011 tulud'!F88/15.6466</f>
        <v>0</v>
      </c>
      <c r="G90" s="179">
        <f>'[2]2011 tulud'!G88/15.6466</f>
        <v>0</v>
      </c>
      <c r="H90" s="179">
        <f>'[2]2011 tulud'!H88/15.6466</f>
        <v>0</v>
      </c>
      <c r="I90" s="180">
        <f>'[2]2011 tulud'!I88/15.6466</f>
        <v>0</v>
      </c>
      <c r="J90" s="366"/>
      <c r="K90" s="367"/>
      <c r="L90" s="368"/>
      <c r="M90" s="369"/>
      <c r="N90" s="283">
        <f t="shared" si="0"/>
        <v>0</v>
      </c>
      <c r="O90" s="370"/>
      <c r="P90" s="367"/>
      <c r="Q90" s="368"/>
      <c r="R90" s="369"/>
      <c r="S90" s="371">
        <f t="shared" si="27"/>
        <v>0</v>
      </c>
      <c r="T90" s="224"/>
      <c r="U90" s="164"/>
      <c r="V90" s="225">
        <f t="shared" si="28"/>
        <v>0</v>
      </c>
      <c r="W90" s="296">
        <f t="shared" si="2"/>
        <v>0</v>
      </c>
      <c r="X90" s="108" t="e">
        <f>G90/E90*100</f>
        <v>#DIV/0!</v>
      </c>
      <c r="Y90" s="109"/>
      <c r="Z90" s="110"/>
      <c r="AA90" s="110"/>
      <c r="AB90" s="110"/>
      <c r="AC90" s="7"/>
      <c r="AD90" s="111"/>
      <c r="AE90" s="88"/>
      <c r="AF90" s="88"/>
      <c r="AG90" s="88"/>
      <c r="AH90" s="88"/>
      <c r="AI90" s="88"/>
      <c r="AJ90" s="88"/>
      <c r="AK90" s="88"/>
    </row>
    <row r="91" spans="1:37" ht="11.25" customHeight="1" hidden="1" thickBot="1">
      <c r="A91" s="316" t="s">
        <v>154</v>
      </c>
      <c r="B91" s="317" t="s">
        <v>155</v>
      </c>
      <c r="C91" s="318"/>
      <c r="D91" s="325"/>
      <c r="E91" s="177">
        <f>'[2]2011 tulud'!$E89/15.6466</f>
        <v>0</v>
      </c>
      <c r="F91" s="178">
        <f>'[2]2011 tulud'!F89/15.6466</f>
        <v>0</v>
      </c>
      <c r="G91" s="179">
        <f>'[2]2011 tulud'!G89/15.6466</f>
        <v>0</v>
      </c>
      <c r="H91" s="179">
        <f>'[2]2011 tulud'!H89/15.6466</f>
        <v>0</v>
      </c>
      <c r="I91" s="180">
        <f>'[2]2011 tulud'!I89/15.6466</f>
        <v>0</v>
      </c>
      <c r="J91" s="366"/>
      <c r="K91" s="367"/>
      <c r="L91" s="368"/>
      <c r="M91" s="369"/>
      <c r="N91" s="283">
        <f t="shared" si="0"/>
        <v>0</v>
      </c>
      <c r="O91" s="370"/>
      <c r="P91" s="367"/>
      <c r="Q91" s="368"/>
      <c r="R91" s="369"/>
      <c r="S91" s="371">
        <f t="shared" si="27"/>
        <v>0</v>
      </c>
      <c r="T91" s="224"/>
      <c r="U91" s="164"/>
      <c r="V91" s="225">
        <f t="shared" si="28"/>
        <v>0</v>
      </c>
      <c r="W91" s="296">
        <f t="shared" si="2"/>
        <v>0</v>
      </c>
      <c r="X91" s="108" t="e">
        <f>G91/E91*100</f>
        <v>#DIV/0!</v>
      </c>
      <c r="Y91" s="109"/>
      <c r="Z91" s="110"/>
      <c r="AA91" s="110"/>
      <c r="AB91" s="110"/>
      <c r="AC91" s="7"/>
      <c r="AD91" s="111"/>
      <c r="AE91" s="88"/>
      <c r="AF91" s="88"/>
      <c r="AG91" s="88"/>
      <c r="AH91" s="88"/>
      <c r="AI91" s="88"/>
      <c r="AJ91" s="88"/>
      <c r="AK91" s="88"/>
    </row>
    <row r="92" spans="1:256" s="10" customFormat="1" ht="11.25" customHeight="1" hidden="1">
      <c r="A92" s="316" t="s">
        <v>156</v>
      </c>
      <c r="B92" s="317" t="s">
        <v>157</v>
      </c>
      <c r="C92" s="318"/>
      <c r="D92" s="325"/>
      <c r="E92" s="177">
        <f>'[2]2011 tulud'!$E90/15.6466</f>
        <v>0</v>
      </c>
      <c r="F92" s="178">
        <f>'[2]2011 tulud'!F90/15.6466</f>
        <v>0</v>
      </c>
      <c r="G92" s="179">
        <f>'[2]2011 tulud'!G90/15.6466</f>
        <v>0</v>
      </c>
      <c r="H92" s="179">
        <f>'[2]2011 tulud'!H90/15.6466</f>
        <v>0</v>
      </c>
      <c r="I92" s="180">
        <f>'[2]2011 tulud'!I90/15.6466</f>
        <v>0</v>
      </c>
      <c r="J92" s="372"/>
      <c r="K92" s="373"/>
      <c r="L92" s="374"/>
      <c r="M92" s="375"/>
      <c r="N92" s="283">
        <f t="shared" si="0"/>
        <v>0</v>
      </c>
      <c r="O92" s="376"/>
      <c r="P92" s="373"/>
      <c r="Q92" s="374"/>
      <c r="R92" s="375"/>
      <c r="S92" s="377">
        <f t="shared" si="27"/>
        <v>0</v>
      </c>
      <c r="T92" s="247"/>
      <c r="U92" s="248"/>
      <c r="V92" s="249">
        <f t="shared" si="28"/>
        <v>0</v>
      </c>
      <c r="W92" s="340">
        <f t="shared" si="2"/>
        <v>0</v>
      </c>
      <c r="X92" s="333" t="e">
        <f>G92/E92*100</f>
        <v>#DIV/0!</v>
      </c>
      <c r="Y92" s="109"/>
      <c r="Z92" s="110"/>
      <c r="AA92" s="110"/>
      <c r="AB92" s="110"/>
      <c r="AC92" s="7"/>
      <c r="AD92" s="111"/>
      <c r="AE92" s="88"/>
      <c r="AF92" s="88"/>
      <c r="AG92" s="88"/>
      <c r="AH92" s="88"/>
      <c r="AI92" s="88"/>
      <c r="AJ92" s="88"/>
      <c r="AK92" s="88"/>
      <c r="IV92" s="9"/>
    </row>
    <row r="93" spans="1:256" s="10" customFormat="1" ht="11.25" customHeight="1">
      <c r="A93" s="316" t="s">
        <v>158</v>
      </c>
      <c r="B93" s="317" t="s">
        <v>159</v>
      </c>
      <c r="C93" s="318"/>
      <c r="D93" s="325"/>
      <c r="E93" s="177">
        <f>'[2]2011 tulud'!$E91/15.6466</f>
        <v>0</v>
      </c>
      <c r="F93" s="178">
        <f>'[2]2011 tulud'!F91/15.6466</f>
        <v>8231.820331573634</v>
      </c>
      <c r="G93" s="179">
        <f>'[2]2011 tulud'!G91/15.6466</f>
        <v>0</v>
      </c>
      <c r="H93" s="179">
        <f>'[2]2011 tulud'!H91/15.6466</f>
        <v>0</v>
      </c>
      <c r="I93" s="180">
        <f>'[2]2011 tulud'!I91/15.6466</f>
        <v>0</v>
      </c>
      <c r="J93" s="378"/>
      <c r="K93" s="164"/>
      <c r="L93" s="225"/>
      <c r="M93" s="225"/>
      <c r="N93" s="283">
        <f t="shared" si="0"/>
        <v>0</v>
      </c>
      <c r="O93" s="284">
        <f>P93+Q93+R93</f>
        <v>17358</v>
      </c>
      <c r="P93" s="164">
        <f>5302+12056</f>
        <v>17358</v>
      </c>
      <c r="Q93" s="225"/>
      <c r="R93" s="225"/>
      <c r="S93" s="379">
        <f>N93+O93</f>
        <v>17358</v>
      </c>
      <c r="T93" s="224"/>
      <c r="U93" s="164"/>
      <c r="V93" s="164">
        <f t="shared" si="28"/>
        <v>17358</v>
      </c>
      <c r="W93" s="296">
        <f t="shared" si="2"/>
        <v>0</v>
      </c>
      <c r="X93" s="297"/>
      <c r="Y93" s="380"/>
      <c r="Z93" s="110"/>
      <c r="AA93" s="110"/>
      <c r="AB93" s="110"/>
      <c r="AC93" s="7"/>
      <c r="AD93" s="7"/>
      <c r="AE93" s="88"/>
      <c r="AF93" s="88"/>
      <c r="AG93" s="88"/>
      <c r="AH93" s="88"/>
      <c r="AI93" s="88"/>
      <c r="AJ93" s="88"/>
      <c r="AK93" s="88"/>
      <c r="IV93" s="9"/>
    </row>
    <row r="94" spans="1:256" s="10" customFormat="1" ht="11.25" customHeight="1">
      <c r="A94" s="316" t="s">
        <v>160</v>
      </c>
      <c r="B94" s="317" t="s">
        <v>161</v>
      </c>
      <c r="C94" s="318"/>
      <c r="D94" s="325"/>
      <c r="E94" s="177">
        <f>'[2]2011 tulud'!$E92/15.6466</f>
        <v>0</v>
      </c>
      <c r="F94" s="178">
        <f>'[2]2011 tulud'!F92/15.6466</f>
        <v>17027.08575665001</v>
      </c>
      <c r="G94" s="179">
        <f>'[2]2011 tulud'!G92/15.6466</f>
        <v>0</v>
      </c>
      <c r="H94" s="179">
        <f>'[2]2011 tulud'!H92/15.6466</f>
        <v>15122.71036519116</v>
      </c>
      <c r="I94" s="180">
        <f>'[2]2011 tulud'!I92/15.6466</f>
        <v>0</v>
      </c>
      <c r="J94" s="279">
        <f>K94+L94+M94</f>
        <v>15197</v>
      </c>
      <c r="K94" s="201">
        <v>15197</v>
      </c>
      <c r="L94" s="225"/>
      <c r="M94" s="225"/>
      <c r="N94" s="283">
        <f t="shared" si="0"/>
        <v>15197</v>
      </c>
      <c r="O94" s="284">
        <f>P94+Q94+R94</f>
        <v>263</v>
      </c>
      <c r="P94" s="201">
        <v>263</v>
      </c>
      <c r="Q94" s="225"/>
      <c r="R94" s="225"/>
      <c r="S94" s="326">
        <f>N94+O94</f>
        <v>15460</v>
      </c>
      <c r="T94" s="224"/>
      <c r="U94" s="164"/>
      <c r="V94" s="164">
        <f t="shared" si="28"/>
        <v>15460</v>
      </c>
      <c r="W94" s="296">
        <f t="shared" si="2"/>
        <v>15197</v>
      </c>
      <c r="X94" s="297"/>
      <c r="AA94" s="109"/>
      <c r="AB94" s="109"/>
      <c r="AC94" s="7"/>
      <c r="AD94" s="111"/>
      <c r="AE94" s="88"/>
      <c r="AF94" s="88"/>
      <c r="AG94" s="88"/>
      <c r="AH94" s="88"/>
      <c r="AI94" s="88"/>
      <c r="AJ94" s="88"/>
      <c r="AK94" s="88"/>
      <c r="IV94" s="9"/>
    </row>
    <row r="95" spans="1:256" s="10" customFormat="1" ht="12" customHeight="1" hidden="1">
      <c r="A95" s="316" t="s">
        <v>162</v>
      </c>
      <c r="B95" s="317" t="s">
        <v>163</v>
      </c>
      <c r="C95" s="318"/>
      <c r="D95" s="325"/>
      <c r="E95" s="177">
        <f>'[2]2011 tulud'!$E93/15.6466</f>
        <v>0</v>
      </c>
      <c r="F95" s="178">
        <f>'[2]2011 tulud'!F93/15.6466</f>
        <v>0</v>
      </c>
      <c r="G95" s="179">
        <f>'[2]2011 tulud'!G93/15.6466</f>
        <v>0</v>
      </c>
      <c r="H95" s="179">
        <f>'[2]2011 tulud'!H93/15.6466</f>
        <v>0</v>
      </c>
      <c r="I95" s="180">
        <f>'[2]2011 tulud'!I93/15.6466</f>
        <v>0</v>
      </c>
      <c r="J95" s="279">
        <f>K95+L95+M95</f>
        <v>0</v>
      </c>
      <c r="K95" s="381"/>
      <c r="L95" s="369"/>
      <c r="M95" s="369"/>
      <c r="N95" s="283">
        <f t="shared" si="0"/>
        <v>0</v>
      </c>
      <c r="O95" s="284">
        <f aca="true" t="shared" si="29" ref="O95:O100">P95+Q95+R95</f>
        <v>0</v>
      </c>
      <c r="P95" s="381"/>
      <c r="Q95" s="369"/>
      <c r="R95" s="369"/>
      <c r="S95" s="326">
        <f t="shared" si="27"/>
        <v>0</v>
      </c>
      <c r="T95" s="224"/>
      <c r="U95" s="164"/>
      <c r="V95" s="164">
        <f t="shared" si="28"/>
        <v>0</v>
      </c>
      <c r="W95" s="296">
        <f t="shared" si="2"/>
        <v>0</v>
      </c>
      <c r="X95" s="297" t="e">
        <f>G95/E95*100</f>
        <v>#DIV/0!</v>
      </c>
      <c r="Z95" s="110"/>
      <c r="AA95" s="109"/>
      <c r="AB95" s="110"/>
      <c r="AC95" s="7"/>
      <c r="AD95" s="111"/>
      <c r="AE95" s="88"/>
      <c r="AF95" s="88"/>
      <c r="AG95" s="88"/>
      <c r="AH95" s="88"/>
      <c r="AI95" s="88"/>
      <c r="AJ95" s="88"/>
      <c r="AK95" s="88"/>
      <c r="IV95" s="9"/>
    </row>
    <row r="96" spans="1:256" s="10" customFormat="1" ht="11.25" customHeight="1">
      <c r="A96" s="316" t="s">
        <v>164</v>
      </c>
      <c r="B96" s="317" t="s">
        <v>165</v>
      </c>
      <c r="C96" s="318"/>
      <c r="D96" s="325"/>
      <c r="E96" s="177">
        <f>'[2]2011 tulud'!$E94/15.6466</f>
        <v>0</v>
      </c>
      <c r="F96" s="178">
        <f>'[2]2011 tulud'!F94/15.6466</f>
        <v>11479.61857528153</v>
      </c>
      <c r="G96" s="179">
        <f>'[2]2011 tulud'!G94/15.6466</f>
        <v>0</v>
      </c>
      <c r="H96" s="179">
        <f>'[2]2011 tulud'!H94/15.6466</f>
        <v>4701.021308143622</v>
      </c>
      <c r="I96" s="180">
        <f>'[2]2011 tulud'!I94/15.6466</f>
        <v>0</v>
      </c>
      <c r="J96" s="279">
        <f>K96+L96+M96</f>
        <v>2705</v>
      </c>
      <c r="K96" s="201">
        <f>1855+318+280+252</f>
        <v>2705</v>
      </c>
      <c r="L96" s="225"/>
      <c r="M96" s="225"/>
      <c r="N96" s="283">
        <f aca="true" t="shared" si="30" ref="N96:N163">I96+J96</f>
        <v>2705</v>
      </c>
      <c r="O96" s="284">
        <f t="shared" si="29"/>
        <v>12094</v>
      </c>
      <c r="P96" s="382">
        <f>1112+852+897+4763+3056+1414</f>
        <v>12094</v>
      </c>
      <c r="Q96" s="225"/>
      <c r="R96" s="225"/>
      <c r="S96" s="326">
        <f t="shared" si="27"/>
        <v>14799</v>
      </c>
      <c r="T96" s="224"/>
      <c r="U96" s="164"/>
      <c r="V96" s="164">
        <f t="shared" si="28"/>
        <v>14799</v>
      </c>
      <c r="W96" s="296">
        <f aca="true" t="shared" si="31" ref="W96:W163">N96-G96</f>
        <v>2705</v>
      </c>
      <c r="X96" s="297"/>
      <c r="Y96" s="109" t="s">
        <v>166</v>
      </c>
      <c r="Z96" s="110"/>
      <c r="AA96" s="110"/>
      <c r="AB96" s="110"/>
      <c r="AC96" s="7"/>
      <c r="AD96" s="111"/>
      <c r="AE96" s="88"/>
      <c r="AF96" s="88"/>
      <c r="AG96" s="88"/>
      <c r="AH96" s="88"/>
      <c r="AI96" s="88"/>
      <c r="AJ96" s="88"/>
      <c r="AK96" s="88"/>
      <c r="IV96" s="9"/>
    </row>
    <row r="97" spans="1:256" s="10" customFormat="1" ht="12.75" customHeight="1">
      <c r="A97" s="316" t="s">
        <v>167</v>
      </c>
      <c r="B97" s="317" t="s">
        <v>168</v>
      </c>
      <c r="C97" s="318"/>
      <c r="D97" s="325"/>
      <c r="E97" s="177">
        <f>'[2]2011 tulud'!$E95/15.6466</f>
        <v>0</v>
      </c>
      <c r="F97" s="178">
        <f>'[2]2011 tulud'!F95/15.6466</f>
        <v>14307.964669640689</v>
      </c>
      <c r="G97" s="179">
        <f>'[2]2011 tulud'!G95/15.6466</f>
        <v>0</v>
      </c>
      <c r="H97" s="179">
        <f>'[2]2011 tulud'!H95/15.6466</f>
        <v>17837.741106694106</v>
      </c>
      <c r="I97" s="180">
        <f>'[2]2011 tulud'!I95/15.6466</f>
        <v>0</v>
      </c>
      <c r="J97" s="279">
        <f>K97+L97+M97</f>
        <v>15685</v>
      </c>
      <c r="K97" s="201">
        <v>15685</v>
      </c>
      <c r="L97" s="225"/>
      <c r="M97" s="225"/>
      <c r="N97" s="283">
        <f t="shared" si="30"/>
        <v>15685</v>
      </c>
      <c r="O97" s="284">
        <f>P97+Q97+R97</f>
        <v>0</v>
      </c>
      <c r="P97" s="201">
        <v>0</v>
      </c>
      <c r="Q97" s="225"/>
      <c r="R97" s="225"/>
      <c r="S97" s="326">
        <f>N97+O97</f>
        <v>15685</v>
      </c>
      <c r="T97" s="224"/>
      <c r="U97" s="164"/>
      <c r="V97" s="164">
        <f t="shared" si="28"/>
        <v>15685</v>
      </c>
      <c r="W97" s="296">
        <f t="shared" si="31"/>
        <v>15685</v>
      </c>
      <c r="X97" s="297"/>
      <c r="Y97" s="109"/>
      <c r="Z97" s="110"/>
      <c r="AA97" s="110"/>
      <c r="AB97" s="110"/>
      <c r="AC97" s="7"/>
      <c r="AD97" s="111"/>
      <c r="AE97" s="88"/>
      <c r="AF97" s="88"/>
      <c r="AG97" s="9"/>
      <c r="AH97" s="9"/>
      <c r="AI97" s="9"/>
      <c r="AJ97" s="9"/>
      <c r="AK97" s="9"/>
      <c r="IV97" s="9"/>
    </row>
    <row r="98" spans="1:256" s="10" customFormat="1" ht="11.25" customHeight="1">
      <c r="A98" s="316" t="s">
        <v>169</v>
      </c>
      <c r="B98" s="317" t="s">
        <v>170</v>
      </c>
      <c r="C98" s="318"/>
      <c r="D98" s="325"/>
      <c r="E98" s="177">
        <f>'[2]2011 tulud'!$E96/15.6466</f>
        <v>0</v>
      </c>
      <c r="F98" s="178">
        <f>'[2]2011 tulud'!F96/15.6466</f>
        <v>3259.4940753901806</v>
      </c>
      <c r="G98" s="179">
        <f>'[2]2011 tulud'!G96/15.6466</f>
        <v>0</v>
      </c>
      <c r="H98" s="179">
        <f>'[2]2011 tulud'!H96/15.6466</f>
        <v>3314.7137397262027</v>
      </c>
      <c r="I98" s="180">
        <f>'[2]2011 tulud'!I96/15.6466</f>
        <v>0</v>
      </c>
      <c r="J98" s="279">
        <f>K98+L98+M98</f>
        <v>3507</v>
      </c>
      <c r="K98" s="201">
        <v>3507</v>
      </c>
      <c r="L98" s="225"/>
      <c r="M98" s="225"/>
      <c r="N98" s="283">
        <f t="shared" si="30"/>
        <v>3507</v>
      </c>
      <c r="O98" s="284">
        <f t="shared" si="29"/>
        <v>3389</v>
      </c>
      <c r="P98" s="382">
        <f>385+2237+767</f>
        <v>3389</v>
      </c>
      <c r="Q98" s="225"/>
      <c r="R98" s="225"/>
      <c r="S98" s="326">
        <f>N98+O98</f>
        <v>6896</v>
      </c>
      <c r="T98" s="224"/>
      <c r="U98" s="164"/>
      <c r="V98" s="164">
        <f t="shared" si="28"/>
        <v>6896</v>
      </c>
      <c r="W98" s="296">
        <f t="shared" si="31"/>
        <v>3507</v>
      </c>
      <c r="X98" s="297"/>
      <c r="Y98" s="380"/>
      <c r="Z98" s="110"/>
      <c r="AA98" s="110"/>
      <c r="AB98" s="110"/>
      <c r="AC98" s="111"/>
      <c r="AD98" s="88"/>
      <c r="AE98" s="88"/>
      <c r="AF98" s="88"/>
      <c r="AG98" s="9"/>
      <c r="AH98" s="9"/>
      <c r="AI98" s="9"/>
      <c r="AJ98" s="9"/>
      <c r="AK98" s="9"/>
      <c r="IV98" s="9"/>
    </row>
    <row r="99" spans="1:256" s="10" customFormat="1" ht="11.25" customHeight="1">
      <c r="A99" s="316"/>
      <c r="B99" s="317" t="s">
        <v>171</v>
      </c>
      <c r="C99" s="318"/>
      <c r="D99" s="325"/>
      <c r="E99" s="177">
        <f>'[2]2011 tulud'!$E97/15.6466</f>
        <v>0</v>
      </c>
      <c r="F99" s="178">
        <f>'[2]2011 tulud'!F97/15.6466</f>
        <v>0</v>
      </c>
      <c r="G99" s="179">
        <f>'[2]2011 tulud'!G97/15.6466</f>
        <v>0</v>
      </c>
      <c r="H99" s="179">
        <f>'[2]2011 tulud'!H97/15.6466</f>
        <v>0</v>
      </c>
      <c r="I99" s="180">
        <f>'[2]2011 tulud'!I97/15.6466</f>
        <v>0</v>
      </c>
      <c r="J99" s="279"/>
      <c r="K99" s="201"/>
      <c r="L99" s="225"/>
      <c r="M99" s="225"/>
      <c r="N99" s="283">
        <f t="shared" si="30"/>
        <v>0</v>
      </c>
      <c r="O99" s="319"/>
      <c r="P99" s="201"/>
      <c r="Q99" s="225"/>
      <c r="R99" s="225"/>
      <c r="S99" s="326"/>
      <c r="T99" s="224"/>
      <c r="U99" s="164"/>
      <c r="V99" s="164"/>
      <c r="W99" s="296">
        <f t="shared" si="31"/>
        <v>0</v>
      </c>
      <c r="X99" s="297" t="e">
        <f>G99/E99*100</f>
        <v>#DIV/0!</v>
      </c>
      <c r="Y99" s="109"/>
      <c r="Z99" s="110"/>
      <c r="AA99" s="110"/>
      <c r="AB99" s="110"/>
      <c r="AC99" s="7"/>
      <c r="AD99" s="111"/>
      <c r="AE99" s="88"/>
      <c r="AF99" s="88"/>
      <c r="AG99" s="9"/>
      <c r="AH99" s="9"/>
      <c r="AI99" s="9"/>
      <c r="AJ99" s="9"/>
      <c r="AK99" s="9"/>
      <c r="IV99" s="9"/>
    </row>
    <row r="100" spans="1:256" s="10" customFormat="1" ht="14.25" customHeight="1">
      <c r="A100" s="316" t="s">
        <v>172</v>
      </c>
      <c r="B100" s="317" t="s">
        <v>173</v>
      </c>
      <c r="C100" s="318"/>
      <c r="D100" s="325"/>
      <c r="E100" s="177">
        <f>'[2]2011 tulud'!$E98/15.6466</f>
        <v>0</v>
      </c>
      <c r="F100" s="178">
        <f>'[2]2011 tulud'!F98/15.6466</f>
        <v>8579.435787966715</v>
      </c>
      <c r="G100" s="179">
        <f>'[2]2011 tulud'!G98/15.6466</f>
        <v>0</v>
      </c>
      <c r="H100" s="179">
        <f>'[2]2011 tulud'!H98/15.6466</f>
        <v>0</v>
      </c>
      <c r="I100" s="180">
        <f>'[2]2011 tulud'!I98/15.6466</f>
        <v>0</v>
      </c>
      <c r="J100" s="279">
        <f>K100+L100+M100</f>
        <v>2568</v>
      </c>
      <c r="K100" s="201">
        <v>2568</v>
      </c>
      <c r="L100" s="204"/>
      <c r="M100" s="204"/>
      <c r="N100" s="283">
        <f t="shared" si="30"/>
        <v>2568</v>
      </c>
      <c r="O100" s="199">
        <f t="shared" si="29"/>
        <v>10747</v>
      </c>
      <c r="P100" s="201">
        <f>2110+8637</f>
        <v>10747</v>
      </c>
      <c r="Q100" s="204"/>
      <c r="R100" s="204"/>
      <c r="S100" s="326">
        <f>N100+O100</f>
        <v>13315</v>
      </c>
      <c r="T100" s="224"/>
      <c r="U100" s="164"/>
      <c r="V100" s="164">
        <f>S100+T100</f>
        <v>13315</v>
      </c>
      <c r="W100" s="296">
        <f t="shared" si="31"/>
        <v>2568</v>
      </c>
      <c r="X100" s="297"/>
      <c r="Y100" s="109"/>
      <c r="Z100" s="110"/>
      <c r="AA100" s="110"/>
      <c r="AB100" s="110"/>
      <c r="AC100" s="88"/>
      <c r="AD100" s="111"/>
      <c r="AE100" s="88"/>
      <c r="AF100" s="88"/>
      <c r="AG100" s="9"/>
      <c r="AH100" s="9"/>
      <c r="AI100" s="383"/>
      <c r="AJ100" s="383"/>
      <c r="AK100" s="383"/>
      <c r="AL100" s="384"/>
      <c r="IV100" s="9"/>
    </row>
    <row r="101" spans="1:256" s="10" customFormat="1" ht="11.25" customHeight="1" hidden="1">
      <c r="A101" s="316"/>
      <c r="B101" s="317" t="s">
        <v>174</v>
      </c>
      <c r="C101" s="318"/>
      <c r="D101" s="325"/>
      <c r="E101" s="177">
        <f>'[2]2011 tulud'!$E99/15.6466</f>
        <v>0</v>
      </c>
      <c r="F101" s="178">
        <f>'[2]2011 tulud'!F99/15.6466</f>
        <v>0</v>
      </c>
      <c r="G101" s="179">
        <f>'[2]2011 tulud'!G99/15.6466</f>
        <v>0</v>
      </c>
      <c r="H101" s="179">
        <f>'[2]2011 tulud'!H99/15.6466</f>
        <v>3066.353073511178</v>
      </c>
      <c r="I101" s="180">
        <f>'[2]2011 tulud'!I99/15.6466</f>
        <v>0</v>
      </c>
      <c r="J101" s="279">
        <f>K101+L101+M101</f>
        <v>0</v>
      </c>
      <c r="K101" s="201"/>
      <c r="L101" s="225"/>
      <c r="M101" s="225"/>
      <c r="N101" s="283">
        <f t="shared" si="30"/>
        <v>0</v>
      </c>
      <c r="O101" s="319"/>
      <c r="P101" s="201"/>
      <c r="Q101" s="225"/>
      <c r="R101" s="225"/>
      <c r="S101" s="326">
        <f>N101+O101</f>
        <v>0</v>
      </c>
      <c r="T101" s="224"/>
      <c r="U101" s="164"/>
      <c r="V101" s="164"/>
      <c r="W101" s="296">
        <f t="shared" si="31"/>
        <v>0</v>
      </c>
      <c r="X101" s="297"/>
      <c r="Y101" s="109" t="s">
        <v>175</v>
      </c>
      <c r="Z101" s="200"/>
      <c r="AA101" s="200"/>
      <c r="AB101" s="200"/>
      <c r="AC101" s="7"/>
      <c r="AD101" s="111"/>
      <c r="AE101" s="88" t="s">
        <v>176</v>
      </c>
      <c r="AF101" s="88"/>
      <c r="AG101" s="9"/>
      <c r="AH101" s="9"/>
      <c r="AI101" s="383"/>
      <c r="AJ101" s="383"/>
      <c r="AK101" s="9"/>
      <c r="IV101" s="9"/>
    </row>
    <row r="102" spans="1:256" s="10" customFormat="1" ht="11.25" customHeight="1" hidden="1">
      <c r="A102" s="316" t="s">
        <v>177</v>
      </c>
      <c r="B102" s="317" t="s">
        <v>178</v>
      </c>
      <c r="C102" s="318"/>
      <c r="D102" s="325"/>
      <c r="E102" s="177">
        <f>'[2]2011 tulud'!$E100/15.6466</f>
        <v>0</v>
      </c>
      <c r="F102" s="178">
        <f>'[2]2011 tulud'!F100/15.6466</f>
        <v>7000.881980749812</v>
      </c>
      <c r="G102" s="179">
        <f>'[2]2011 tulud'!G100/15.6466</f>
        <v>0</v>
      </c>
      <c r="H102" s="179">
        <f>'[2]2011 tulud'!H100/15.6466</f>
        <v>0</v>
      </c>
      <c r="I102" s="180">
        <f>'[2]2011 tulud'!I100/15.6466</f>
        <v>0</v>
      </c>
      <c r="J102" s="378"/>
      <c r="K102" s="381"/>
      <c r="L102" s="369"/>
      <c r="M102" s="369"/>
      <c r="N102" s="283">
        <f t="shared" si="30"/>
        <v>0</v>
      </c>
      <c r="O102" s="385"/>
      <c r="P102" s="381"/>
      <c r="Q102" s="369"/>
      <c r="R102" s="369"/>
      <c r="S102" s="326">
        <f>N102+P102</f>
        <v>0</v>
      </c>
      <c r="T102" s="224"/>
      <c r="U102" s="164"/>
      <c r="V102" s="164"/>
      <c r="W102" s="296">
        <f t="shared" si="31"/>
        <v>0</v>
      </c>
      <c r="X102" s="297"/>
      <c r="Y102" s="109"/>
      <c r="Z102" s="200"/>
      <c r="AA102" s="200"/>
      <c r="AB102" s="200"/>
      <c r="AC102" s="7"/>
      <c r="AD102" s="111"/>
      <c r="AE102" s="88" t="s">
        <v>179</v>
      </c>
      <c r="AF102" s="88"/>
      <c r="AG102" s="9"/>
      <c r="AH102" s="9"/>
      <c r="AI102" s="9"/>
      <c r="AJ102" s="9"/>
      <c r="AK102" s="9"/>
      <c r="IV102" s="9"/>
    </row>
    <row r="103" spans="1:256" s="10" customFormat="1" ht="11.25" customHeight="1" hidden="1">
      <c r="A103" s="316" t="s">
        <v>180</v>
      </c>
      <c r="B103" s="317" t="s">
        <v>181</v>
      </c>
      <c r="C103" s="318"/>
      <c r="D103" s="325"/>
      <c r="E103" s="177">
        <f>'[2]2011 tulud'!$E101/15.6466</f>
        <v>0</v>
      </c>
      <c r="F103" s="178">
        <f>'[2]2011 tulud'!F101/15.6466</f>
        <v>0</v>
      </c>
      <c r="G103" s="179">
        <f>'[2]2011 tulud'!G101/15.6466</f>
        <v>0</v>
      </c>
      <c r="H103" s="179">
        <f>'[2]2011 tulud'!H101/15.6466</f>
        <v>0</v>
      </c>
      <c r="I103" s="180">
        <f>'[2]2011 tulud'!I101/15.6466</f>
        <v>0</v>
      </c>
      <c r="J103" s="378"/>
      <c r="K103" s="381"/>
      <c r="L103" s="369"/>
      <c r="M103" s="369"/>
      <c r="N103" s="283">
        <f t="shared" si="30"/>
        <v>0</v>
      </c>
      <c r="O103" s="319"/>
      <c r="P103" s="381"/>
      <c r="Q103" s="369"/>
      <c r="R103" s="369"/>
      <c r="S103" s="326">
        <f aca="true" t="shared" si="32" ref="S103:S109">N103+O103</f>
        <v>0</v>
      </c>
      <c r="T103" s="224"/>
      <c r="U103" s="164"/>
      <c r="V103" s="164"/>
      <c r="W103" s="296">
        <f t="shared" si="31"/>
        <v>0</v>
      </c>
      <c r="X103" s="297" t="e">
        <f>G103/E103*100</f>
        <v>#DIV/0!</v>
      </c>
      <c r="Y103" s="109"/>
      <c r="Z103" s="200"/>
      <c r="AA103" s="200"/>
      <c r="AB103" s="200"/>
      <c r="AC103" s="7"/>
      <c r="AD103" s="111"/>
      <c r="AE103" s="88" t="s">
        <v>182</v>
      </c>
      <c r="AF103" s="88"/>
      <c r="AG103" s="9"/>
      <c r="AH103" s="9"/>
      <c r="AI103" s="9"/>
      <c r="AJ103" s="9"/>
      <c r="AK103" s="9"/>
      <c r="IV103" s="9"/>
    </row>
    <row r="104" spans="1:256" s="10" customFormat="1" ht="11.25" customHeight="1" hidden="1">
      <c r="A104" s="316" t="s">
        <v>183</v>
      </c>
      <c r="B104" s="317" t="s">
        <v>184</v>
      </c>
      <c r="C104" s="318"/>
      <c r="D104" s="386"/>
      <c r="E104" s="177">
        <f>'[2]2011 tulud'!$E102/15.6466</f>
        <v>0</v>
      </c>
      <c r="F104" s="178">
        <f>'[2]2011 tulud'!F102/15.6466</f>
        <v>0</v>
      </c>
      <c r="G104" s="179">
        <f>'[2]2011 tulud'!G102/15.6466</f>
        <v>0</v>
      </c>
      <c r="H104" s="179">
        <f>'[2]2011 tulud'!H102/15.6466</f>
        <v>0</v>
      </c>
      <c r="I104" s="180">
        <f>'[2]2011 tulud'!I102/15.6466</f>
        <v>0</v>
      </c>
      <c r="J104" s="387"/>
      <c r="K104" s="381"/>
      <c r="L104" s="369"/>
      <c r="M104" s="369"/>
      <c r="N104" s="283">
        <f t="shared" si="30"/>
        <v>0</v>
      </c>
      <c r="O104" s="319"/>
      <c r="P104" s="381"/>
      <c r="Q104" s="369"/>
      <c r="R104" s="369"/>
      <c r="S104" s="326">
        <f t="shared" si="32"/>
        <v>0</v>
      </c>
      <c r="T104" s="224"/>
      <c r="U104" s="164"/>
      <c r="V104" s="164">
        <f>S104+T104</f>
        <v>0</v>
      </c>
      <c r="W104" s="296">
        <f t="shared" si="31"/>
        <v>0</v>
      </c>
      <c r="X104" s="297" t="e">
        <f>G104/E104*100</f>
        <v>#DIV/0!</v>
      </c>
      <c r="Y104" s="109"/>
      <c r="Z104" s="200"/>
      <c r="AA104" s="200"/>
      <c r="AB104" s="200"/>
      <c r="AC104" s="7"/>
      <c r="AD104" s="111"/>
      <c r="AE104" s="88" t="s">
        <v>185</v>
      </c>
      <c r="AF104" s="88"/>
      <c r="AG104" s="9"/>
      <c r="AH104" s="9"/>
      <c r="AI104" s="9"/>
      <c r="AJ104" s="9"/>
      <c r="AK104" s="9"/>
      <c r="IV104" s="9"/>
    </row>
    <row r="105" spans="1:256" s="10" customFormat="1" ht="10.5" customHeight="1" hidden="1">
      <c r="A105" s="316" t="s">
        <v>186</v>
      </c>
      <c r="B105" s="317" t="s">
        <v>187</v>
      </c>
      <c r="C105" s="318"/>
      <c r="D105" s="325"/>
      <c r="E105" s="177">
        <f>'[2]2011 tulud'!$E103/15.6466</f>
        <v>0</v>
      </c>
      <c r="F105" s="178">
        <f>'[2]2011 tulud'!F103/15.6466</f>
        <v>0</v>
      </c>
      <c r="G105" s="179">
        <f>'[2]2011 tulud'!G103/15.6466</f>
        <v>0</v>
      </c>
      <c r="H105" s="179">
        <f>'[2]2011 tulud'!H103/15.6466</f>
        <v>0</v>
      </c>
      <c r="I105" s="180">
        <f>'[2]2011 tulud'!I103/15.6466</f>
        <v>0</v>
      </c>
      <c r="J105" s="378"/>
      <c r="K105" s="381"/>
      <c r="L105" s="369"/>
      <c r="M105" s="369"/>
      <c r="N105" s="283">
        <f t="shared" si="30"/>
        <v>0</v>
      </c>
      <c r="O105" s="319"/>
      <c r="P105" s="381"/>
      <c r="Q105" s="369"/>
      <c r="R105" s="369"/>
      <c r="S105" s="326">
        <f t="shared" si="32"/>
        <v>0</v>
      </c>
      <c r="T105" s="224"/>
      <c r="U105" s="164"/>
      <c r="V105" s="164">
        <f>S105+T105</f>
        <v>0</v>
      </c>
      <c r="W105" s="296">
        <f t="shared" si="31"/>
        <v>0</v>
      </c>
      <c r="X105" s="297" t="e">
        <f>G105/E105*100</f>
        <v>#DIV/0!</v>
      </c>
      <c r="Y105" s="109"/>
      <c r="Z105" s="200"/>
      <c r="AA105" s="200"/>
      <c r="AB105" s="200"/>
      <c r="AC105" s="7"/>
      <c r="AD105" s="111"/>
      <c r="AE105" s="88" t="s">
        <v>188</v>
      </c>
      <c r="AF105" s="88"/>
      <c r="AG105" s="9"/>
      <c r="AH105" s="9"/>
      <c r="AI105" s="9"/>
      <c r="AJ105" s="9"/>
      <c r="AK105" s="9"/>
      <c r="IV105" s="9"/>
    </row>
    <row r="106" spans="1:256" s="10" customFormat="1" ht="10.5" customHeight="1" hidden="1">
      <c r="A106" s="316" t="s">
        <v>189</v>
      </c>
      <c r="B106" s="317" t="s">
        <v>190</v>
      </c>
      <c r="C106" s="318"/>
      <c r="D106" s="325"/>
      <c r="E106" s="177">
        <f>'[2]2011 tulud'!$E104/15.6466</f>
        <v>0</v>
      </c>
      <c r="F106" s="178">
        <f>'[2]2011 tulud'!F104/15.6466</f>
        <v>0</v>
      </c>
      <c r="G106" s="179">
        <f>'[2]2011 tulud'!G104/15.6466</f>
        <v>0</v>
      </c>
      <c r="H106" s="179">
        <f>'[2]2011 tulud'!H104/15.6466</f>
        <v>0</v>
      </c>
      <c r="I106" s="180">
        <f>'[2]2011 tulud'!I104/15.6466</f>
        <v>0</v>
      </c>
      <c r="J106" s="378"/>
      <c r="K106" s="381"/>
      <c r="L106" s="369"/>
      <c r="M106" s="369"/>
      <c r="N106" s="283">
        <f t="shared" si="30"/>
        <v>0</v>
      </c>
      <c r="O106" s="319"/>
      <c r="P106" s="381"/>
      <c r="Q106" s="369"/>
      <c r="R106" s="369"/>
      <c r="S106" s="326">
        <f t="shared" si="32"/>
        <v>0</v>
      </c>
      <c r="T106" s="224"/>
      <c r="U106" s="164"/>
      <c r="V106" s="164">
        <f>S106+T106</f>
        <v>0</v>
      </c>
      <c r="W106" s="296">
        <f t="shared" si="31"/>
        <v>0</v>
      </c>
      <c r="X106" s="297" t="e">
        <f>G106/E106*100</f>
        <v>#DIV/0!</v>
      </c>
      <c r="Y106" s="109"/>
      <c r="Z106" s="200"/>
      <c r="AA106" s="200"/>
      <c r="AB106" s="200"/>
      <c r="AC106" s="7"/>
      <c r="AD106" s="111"/>
      <c r="AE106" s="88" t="s">
        <v>191</v>
      </c>
      <c r="AF106" s="88"/>
      <c r="AG106" s="9"/>
      <c r="AH106" s="9"/>
      <c r="AI106" s="9"/>
      <c r="AJ106" s="9"/>
      <c r="AK106" s="9"/>
      <c r="IV106" s="9"/>
    </row>
    <row r="107" spans="1:256" s="10" customFormat="1" ht="11.25" customHeight="1">
      <c r="A107" s="316" t="s">
        <v>192</v>
      </c>
      <c r="B107" s="317" t="s">
        <v>193</v>
      </c>
      <c r="C107" s="318"/>
      <c r="D107" s="325"/>
      <c r="E107" s="177">
        <f>'[2]2011 tulud'!$E105/15.6466</f>
        <v>0</v>
      </c>
      <c r="F107" s="178">
        <f>'[2]2011 tulud'!F105/15.6466</f>
        <v>6780.5146165940205</v>
      </c>
      <c r="G107" s="179">
        <f>'[2]2011 tulud'!G105/15.6466</f>
        <v>0</v>
      </c>
      <c r="H107" s="179">
        <f>'[2]2011 tulud'!H105/15.6466</f>
        <v>27852.95207904593</v>
      </c>
      <c r="I107" s="180">
        <f>'[2]2011 tulud'!I105/15.6466</f>
        <v>0</v>
      </c>
      <c r="J107" s="279">
        <f>K107+L107+M107</f>
        <v>1939</v>
      </c>
      <c r="K107" s="201">
        <f>274+1665</f>
        <v>1939</v>
      </c>
      <c r="L107" s="225"/>
      <c r="M107" s="225"/>
      <c r="N107" s="283">
        <f t="shared" si="30"/>
        <v>1939</v>
      </c>
      <c r="O107" s="199">
        <f>P107+Q107+R107</f>
        <v>22019</v>
      </c>
      <c r="P107" s="382">
        <f>2640+1917+298+2508-274+2161-866+3140+9217+1278</f>
        <v>22019</v>
      </c>
      <c r="Q107" s="225"/>
      <c r="R107" s="225"/>
      <c r="S107" s="388">
        <f t="shared" si="32"/>
        <v>23958</v>
      </c>
      <c r="T107" s="224"/>
      <c r="U107" s="164"/>
      <c r="V107" s="164">
        <f>S107+T107</f>
        <v>23958</v>
      </c>
      <c r="W107" s="296">
        <f t="shared" si="31"/>
        <v>1939</v>
      </c>
      <c r="X107" s="297"/>
      <c r="Z107" s="200"/>
      <c r="AC107" s="7"/>
      <c r="AD107" s="109"/>
      <c r="AE107" s="88"/>
      <c r="AF107" s="88"/>
      <c r="AG107" s="9"/>
      <c r="AH107" s="9"/>
      <c r="AI107" s="9"/>
      <c r="AJ107" s="9"/>
      <c r="AK107" s="9"/>
      <c r="IV107" s="9"/>
    </row>
    <row r="108" spans="1:256" s="10" customFormat="1" ht="11.25" customHeight="1" thickBot="1">
      <c r="A108" s="316" t="s">
        <v>194</v>
      </c>
      <c r="B108" s="317" t="s">
        <v>195</v>
      </c>
      <c r="C108" s="318"/>
      <c r="D108" s="325"/>
      <c r="E108" s="177">
        <f>'[2]2011 tulud'!$E106/15.6466</f>
        <v>0</v>
      </c>
      <c r="F108" s="178">
        <f>'[2]2011 tulud'!F106/15.6466</f>
        <v>0</v>
      </c>
      <c r="G108" s="179">
        <f>'[2]2011 tulud'!G106/15.6466</f>
        <v>0</v>
      </c>
      <c r="H108" s="179">
        <f>'[2]2011 tulud'!H106/15.6466</f>
        <v>0</v>
      </c>
      <c r="I108" s="180">
        <f>'[2]2011 tulud'!I106/15.6466</f>
        <v>0</v>
      </c>
      <c r="J108" s="279">
        <f>K108+L108+M108</f>
        <v>640</v>
      </c>
      <c r="K108" s="389">
        <v>640</v>
      </c>
      <c r="L108" s="390"/>
      <c r="M108" s="391"/>
      <c r="N108" s="283">
        <f>I108+J108</f>
        <v>640</v>
      </c>
      <c r="O108" s="199">
        <f>P108+Q108+R108</f>
        <v>0</v>
      </c>
      <c r="P108" s="201">
        <v>0</v>
      </c>
      <c r="Q108" s="232"/>
      <c r="R108" s="215"/>
      <c r="S108" s="392">
        <f t="shared" si="32"/>
        <v>640</v>
      </c>
      <c r="T108" s="213"/>
      <c r="U108" s="214"/>
      <c r="V108" s="215">
        <f>S108+T108</f>
        <v>640</v>
      </c>
      <c r="W108" s="332">
        <f t="shared" si="31"/>
        <v>640</v>
      </c>
      <c r="X108" s="108" t="e">
        <f>G108/E108*100</f>
        <v>#DIV/0!</v>
      </c>
      <c r="Y108" s="109"/>
      <c r="Z108" s="200"/>
      <c r="AA108" s="200"/>
      <c r="AB108" s="200"/>
      <c r="AC108" s="7"/>
      <c r="AD108" s="111"/>
      <c r="AE108" s="88"/>
      <c r="AF108" s="88"/>
      <c r="IV108" s="9"/>
    </row>
    <row r="109" spans="1:256" s="363" customFormat="1" ht="11.25" customHeight="1">
      <c r="A109" s="346" t="s">
        <v>196</v>
      </c>
      <c r="B109" s="347" t="s">
        <v>197</v>
      </c>
      <c r="C109" s="348"/>
      <c r="D109" s="291">
        <v>0</v>
      </c>
      <c r="E109" s="177">
        <f>'[2]2011 tulud'!$E107/15.6466</f>
        <v>0</v>
      </c>
      <c r="F109" s="178">
        <f>'[2]2011 tulud'!F107/15.6466</f>
        <v>151272.48092237292</v>
      </c>
      <c r="G109" s="179">
        <f>'[2]2011 tulud'!G107/15.6466</f>
        <v>0</v>
      </c>
      <c r="H109" s="179">
        <f>'[2]2011 tulud'!H107/15.6466</f>
        <v>119521.17392916033</v>
      </c>
      <c r="I109" s="180">
        <f>'[2]2011 tulud'!I107/15.6466</f>
        <v>0</v>
      </c>
      <c r="J109" s="279">
        <f>K109+L109+M109</f>
        <v>141453</v>
      </c>
      <c r="K109" s="393">
        <f>K110+K111+K112+K113+K114+K119+K120+K121+K122+K117</f>
        <v>141453</v>
      </c>
      <c r="L109" s="394"/>
      <c r="M109" s="361"/>
      <c r="N109" s="283">
        <f>I109+J109</f>
        <v>141453</v>
      </c>
      <c r="O109" s="407">
        <f>P109+Q109+R109</f>
        <v>173745</v>
      </c>
      <c r="P109" s="292">
        <f>P110+P111+P112+P113+P114+P119+P120+P121+P122+P118</f>
        <v>173745</v>
      </c>
      <c r="Q109" s="394"/>
      <c r="R109" s="361"/>
      <c r="S109" s="395">
        <f t="shared" si="32"/>
        <v>315198</v>
      </c>
      <c r="T109" s="393">
        <f>T110+T111+T112+T113+T114+T119+T120+T121+T122</f>
        <v>0</v>
      </c>
      <c r="U109" s="396">
        <f>U110+U111+U112+U113+U114+U119+U120+U121+U122</f>
        <v>0</v>
      </c>
      <c r="V109" s="362">
        <f>V110+V111+V112+V113+V114+V119+V120+V121+V122</f>
        <v>266156</v>
      </c>
      <c r="W109" s="187">
        <f t="shared" si="31"/>
        <v>141453</v>
      </c>
      <c r="X109" s="231"/>
      <c r="Y109" s="109"/>
      <c r="Z109" s="200"/>
      <c r="AA109" s="200"/>
      <c r="AB109" s="200"/>
      <c r="AC109" s="298"/>
      <c r="AD109" s="111"/>
      <c r="AE109" s="324"/>
      <c r="AF109" s="324"/>
      <c r="AG109" s="397"/>
      <c r="AH109" s="397"/>
      <c r="AI109" s="398"/>
      <c r="AJ109" s="397"/>
      <c r="IV109" s="324"/>
    </row>
    <row r="110" spans="1:256" s="149" customFormat="1" ht="11.25" customHeight="1" hidden="1" thickBot="1">
      <c r="A110" s="192" t="s">
        <v>198</v>
      </c>
      <c r="B110" s="193" t="s">
        <v>149</v>
      </c>
      <c r="C110" s="194">
        <v>0</v>
      </c>
      <c r="D110" s="195"/>
      <c r="E110" s="177">
        <f>'[2]2011 tulud'!$E108/15.6466</f>
        <v>0</v>
      </c>
      <c r="F110" s="178">
        <f>'[2]2011 tulud'!F108/15.6466</f>
        <v>0</v>
      </c>
      <c r="G110" s="179">
        <f>'[2]2011 tulud'!G108/15.6466</f>
        <v>0</v>
      </c>
      <c r="H110" s="179">
        <f>'[2]2011 tulud'!H108/15.6466</f>
        <v>0</v>
      </c>
      <c r="I110" s="180">
        <f>'[2]2011 tulud'!I108/15.6466</f>
        <v>0</v>
      </c>
      <c r="J110" s="208"/>
      <c r="K110" s="209"/>
      <c r="L110" s="232"/>
      <c r="M110" s="215"/>
      <c r="N110" s="283">
        <f t="shared" si="30"/>
        <v>0</v>
      </c>
      <c r="O110" s="959"/>
      <c r="P110" s="164"/>
      <c r="Q110" s="232"/>
      <c r="R110" s="215"/>
      <c r="S110" s="365">
        <f>N110+O110</f>
        <v>0</v>
      </c>
      <c r="T110" s="213"/>
      <c r="U110" s="214"/>
      <c r="V110" s="215">
        <f>S110+T110</f>
        <v>0</v>
      </c>
      <c r="W110" s="332">
        <f t="shared" si="31"/>
        <v>0</v>
      </c>
      <c r="X110" s="108" t="e">
        <f>G110/E110*100</f>
        <v>#DIV/0!</v>
      </c>
      <c r="Y110" s="109"/>
      <c r="Z110" s="200"/>
      <c r="AA110" s="200"/>
      <c r="AB110" s="200"/>
      <c r="AC110" s="7"/>
      <c r="AD110" s="111"/>
      <c r="AE110" s="88"/>
      <c r="AF110" s="88"/>
      <c r="AG110" s="9"/>
      <c r="AH110" s="9"/>
      <c r="AI110" s="9"/>
      <c r="AJ110" s="9"/>
      <c r="IV110" s="88"/>
    </row>
    <row r="111" spans="1:36" ht="11.25" customHeight="1" hidden="1" thickBot="1">
      <c r="A111" s="316" t="s">
        <v>199</v>
      </c>
      <c r="B111" s="317" t="s">
        <v>151</v>
      </c>
      <c r="C111" s="318"/>
      <c r="D111" s="325"/>
      <c r="E111" s="177">
        <f>'[2]2011 tulud'!$E109/15.6466</f>
        <v>0</v>
      </c>
      <c r="F111" s="178">
        <f>'[2]2011 tulud'!F109/15.6466</f>
        <v>0</v>
      </c>
      <c r="G111" s="179">
        <f>'[2]2011 tulud'!G109/15.6466</f>
        <v>0</v>
      </c>
      <c r="H111" s="179">
        <f>'[2]2011 tulud'!H109/15.6466</f>
        <v>0</v>
      </c>
      <c r="I111" s="180">
        <f>'[2]2011 tulud'!I109/15.6466</f>
        <v>0</v>
      </c>
      <c r="J111" s="366"/>
      <c r="K111" s="367"/>
      <c r="L111" s="368"/>
      <c r="M111" s="369"/>
      <c r="N111" s="283">
        <f t="shared" si="30"/>
        <v>0</v>
      </c>
      <c r="O111" s="960"/>
      <c r="P111" s="399"/>
      <c r="Q111" s="368"/>
      <c r="R111" s="369"/>
      <c r="S111" s="371">
        <f>N111+O111</f>
        <v>0</v>
      </c>
      <c r="T111" s="224"/>
      <c r="U111" s="164"/>
      <c r="V111" s="225">
        <f>S111+T111</f>
        <v>0</v>
      </c>
      <c r="W111" s="296">
        <f t="shared" si="31"/>
        <v>0</v>
      </c>
      <c r="X111" s="108" t="e">
        <f>G111/E111*100</f>
        <v>#DIV/0!</v>
      </c>
      <c r="Y111" s="109"/>
      <c r="Z111" s="200"/>
      <c r="AA111" s="200"/>
      <c r="AB111" s="200"/>
      <c r="AC111" s="7"/>
      <c r="AD111" s="111"/>
      <c r="AE111" s="88"/>
      <c r="AF111" s="88"/>
      <c r="AG111" s="9"/>
      <c r="AH111" s="9"/>
      <c r="AI111" s="9"/>
      <c r="AJ111" s="9"/>
    </row>
    <row r="112" spans="1:36" ht="11.25" customHeight="1" hidden="1" thickBot="1">
      <c r="A112" s="316" t="s">
        <v>200</v>
      </c>
      <c r="B112" s="317" t="s">
        <v>153</v>
      </c>
      <c r="C112" s="318"/>
      <c r="D112" s="325"/>
      <c r="E112" s="177">
        <f>'[2]2011 tulud'!$E110/15.6466</f>
        <v>0</v>
      </c>
      <c r="F112" s="178">
        <f>'[2]2011 tulud'!F110/15.6466</f>
        <v>0</v>
      </c>
      <c r="G112" s="179">
        <f>'[2]2011 tulud'!G110/15.6466</f>
        <v>0</v>
      </c>
      <c r="H112" s="179">
        <f>'[2]2011 tulud'!H110/15.6466</f>
        <v>0</v>
      </c>
      <c r="I112" s="180">
        <f>'[2]2011 tulud'!I110/15.6466</f>
        <v>0</v>
      </c>
      <c r="J112" s="366"/>
      <c r="K112" s="367"/>
      <c r="L112" s="368"/>
      <c r="M112" s="369"/>
      <c r="N112" s="283">
        <f t="shared" si="30"/>
        <v>0</v>
      </c>
      <c r="O112" s="960"/>
      <c r="P112" s="399"/>
      <c r="Q112" s="368"/>
      <c r="R112" s="369"/>
      <c r="S112" s="371">
        <f>N112+O112</f>
        <v>0</v>
      </c>
      <c r="T112" s="224"/>
      <c r="U112" s="164"/>
      <c r="V112" s="225">
        <f>S112+T112</f>
        <v>0</v>
      </c>
      <c r="W112" s="296">
        <f t="shared" si="31"/>
        <v>0</v>
      </c>
      <c r="X112" s="108" t="e">
        <f>G112/E112*100</f>
        <v>#DIV/0!</v>
      </c>
      <c r="Y112" s="109"/>
      <c r="Z112" s="200"/>
      <c r="AA112" s="200"/>
      <c r="AB112" s="200"/>
      <c r="AC112" s="7"/>
      <c r="AD112" s="111"/>
      <c r="AE112" s="88"/>
      <c r="AF112" s="88"/>
      <c r="AG112" s="9"/>
      <c r="AH112" s="9"/>
      <c r="AI112" s="9"/>
      <c r="AJ112" s="9"/>
    </row>
    <row r="113" spans="1:36" ht="11.25" customHeight="1" hidden="1" thickBot="1">
      <c r="A113" s="316" t="s">
        <v>201</v>
      </c>
      <c r="B113" s="317" t="s">
        <v>155</v>
      </c>
      <c r="C113" s="318"/>
      <c r="D113" s="325"/>
      <c r="E113" s="177">
        <f>'[2]2011 tulud'!$E111/15.6466</f>
        <v>0</v>
      </c>
      <c r="F113" s="178">
        <f>'[2]2011 tulud'!F111/15.6466</f>
        <v>0</v>
      </c>
      <c r="G113" s="179">
        <f>'[2]2011 tulud'!G111/15.6466</f>
        <v>0</v>
      </c>
      <c r="H113" s="179">
        <f>'[2]2011 tulud'!H111/15.6466</f>
        <v>0</v>
      </c>
      <c r="I113" s="180">
        <f>'[2]2011 tulud'!I111/15.6466</f>
        <v>0</v>
      </c>
      <c r="J113" s="372"/>
      <c r="K113" s="373"/>
      <c r="L113" s="374"/>
      <c r="M113" s="375"/>
      <c r="N113" s="283">
        <f t="shared" si="30"/>
        <v>0</v>
      </c>
      <c r="O113" s="961"/>
      <c r="P113" s="399"/>
      <c r="Q113" s="374"/>
      <c r="R113" s="375"/>
      <c r="S113" s="377">
        <f>N113+O113</f>
        <v>0</v>
      </c>
      <c r="T113" s="247"/>
      <c r="U113" s="248"/>
      <c r="V113" s="249">
        <f>S113+T113</f>
        <v>0</v>
      </c>
      <c r="W113" s="340">
        <f t="shared" si="31"/>
        <v>0</v>
      </c>
      <c r="X113" s="333" t="e">
        <f>G113/E113*100</f>
        <v>#DIV/0!</v>
      </c>
      <c r="Y113" s="109"/>
      <c r="Z113" s="200"/>
      <c r="AA113" s="200"/>
      <c r="AB113" s="200"/>
      <c r="AC113" s="7"/>
      <c r="AD113" s="111"/>
      <c r="AE113" s="88"/>
      <c r="AF113" s="88"/>
      <c r="AG113" s="9"/>
      <c r="AH113" s="9"/>
      <c r="AI113" s="9"/>
      <c r="AJ113" s="9"/>
    </row>
    <row r="114" spans="1:256" s="10" customFormat="1" ht="11.25" customHeight="1">
      <c r="A114" s="316" t="s">
        <v>202</v>
      </c>
      <c r="B114" s="317" t="s">
        <v>203</v>
      </c>
      <c r="C114" s="318"/>
      <c r="D114" s="325">
        <v>0</v>
      </c>
      <c r="E114" s="177">
        <f>'[2]2011 tulud'!$E112/15.6466</f>
        <v>0</v>
      </c>
      <c r="F114" s="178">
        <f>'[2]2011 tulud'!F112/15.6466</f>
        <v>119316.65665384174</v>
      </c>
      <c r="G114" s="179">
        <f>'[2]2011 tulud'!G112/15.6466</f>
        <v>0</v>
      </c>
      <c r="H114" s="179">
        <f>'[2]2011 tulud'!H112/15.6466</f>
        <v>0</v>
      </c>
      <c r="I114" s="180">
        <f>'[2]2011 tulud'!I112/15.6466</f>
        <v>0</v>
      </c>
      <c r="J114" s="378"/>
      <c r="K114" s="399"/>
      <c r="L114" s="369"/>
      <c r="M114" s="369"/>
      <c r="N114" s="283">
        <f t="shared" si="30"/>
        <v>0</v>
      </c>
      <c r="O114" s="962"/>
      <c r="P114" s="399"/>
      <c r="Q114" s="368"/>
      <c r="R114" s="369"/>
      <c r="S114" s="165">
        <f>N114+O114</f>
        <v>0</v>
      </c>
      <c r="T114" s="224">
        <f>SUM(T115:T119)</f>
        <v>0</v>
      </c>
      <c r="U114" s="164">
        <f>SUM(U115:U119)</f>
        <v>0</v>
      </c>
      <c r="V114" s="164">
        <f>SUM(V115:V119)</f>
        <v>141453</v>
      </c>
      <c r="W114" s="296">
        <f t="shared" si="31"/>
        <v>0</v>
      </c>
      <c r="X114" s="297"/>
      <c r="Y114" s="109"/>
      <c r="Z114" s="200"/>
      <c r="AA114" s="200"/>
      <c r="AB114" s="200"/>
      <c r="AC114" s="7"/>
      <c r="AD114" s="111"/>
      <c r="AE114" s="88"/>
      <c r="AF114" s="88"/>
      <c r="AG114" s="9"/>
      <c r="AH114" s="9"/>
      <c r="AI114" s="9"/>
      <c r="AJ114" s="9"/>
      <c r="IV114" s="9"/>
    </row>
    <row r="115" spans="1:256" s="403" customFormat="1" ht="11.25" customHeight="1" hidden="1">
      <c r="A115" s="288" t="s">
        <v>204</v>
      </c>
      <c r="B115" s="289" t="s">
        <v>205</v>
      </c>
      <c r="C115" s="290">
        <v>0</v>
      </c>
      <c r="D115" s="322"/>
      <c r="E115" s="177">
        <f>'[2]2011 tulud'!$E113/15.6466</f>
        <v>0</v>
      </c>
      <c r="F115" s="178">
        <f>'[2]2011 tulud'!F113/15.6466</f>
        <v>0</v>
      </c>
      <c r="G115" s="179">
        <f>'[2]2011 tulud'!G113/15.6466</f>
        <v>0</v>
      </c>
      <c r="H115" s="179">
        <f>'[2]2011 tulud'!H113/15.6466</f>
        <v>0</v>
      </c>
      <c r="I115" s="180">
        <f>'[2]2011 tulud'!I113/15.6466</f>
        <v>0</v>
      </c>
      <c r="J115" s="400"/>
      <c r="K115" s="401"/>
      <c r="L115" s="402"/>
      <c r="M115" s="402"/>
      <c r="N115" s="283">
        <f t="shared" si="30"/>
        <v>0</v>
      </c>
      <c r="O115" s="223"/>
      <c r="P115" s="401"/>
      <c r="Q115" s="963"/>
      <c r="R115" s="402"/>
      <c r="S115" s="165">
        <f aca="true" t="shared" si="33" ref="S115:S122">N115+O115</f>
        <v>0</v>
      </c>
      <c r="T115" s="224"/>
      <c r="U115" s="164"/>
      <c r="V115" s="164">
        <f aca="true" t="shared" si="34" ref="V115:V122">S115+T115</f>
        <v>0</v>
      </c>
      <c r="W115" s="296">
        <f t="shared" si="31"/>
        <v>0</v>
      </c>
      <c r="X115" s="297"/>
      <c r="Y115" s="109"/>
      <c r="Z115" s="200"/>
      <c r="AA115" s="200"/>
      <c r="AB115" s="200"/>
      <c r="AC115" s="7"/>
      <c r="AD115" s="111"/>
      <c r="AE115" s="324"/>
      <c r="AF115" s="324"/>
      <c r="AG115" s="397"/>
      <c r="AH115" s="397"/>
      <c r="AI115" s="397"/>
      <c r="AJ115" s="397"/>
      <c r="IV115" s="397"/>
    </row>
    <row r="116" spans="1:256" s="403" customFormat="1" ht="11.25" customHeight="1" hidden="1">
      <c r="A116" s="288" t="s">
        <v>206</v>
      </c>
      <c r="B116" s="289" t="s">
        <v>207</v>
      </c>
      <c r="C116" s="290"/>
      <c r="D116" s="322"/>
      <c r="E116" s="177">
        <f>'[2]2011 tulud'!$E114/15.6466</f>
        <v>0</v>
      </c>
      <c r="F116" s="178">
        <f>'[2]2011 tulud'!F114/15.6466</f>
        <v>0</v>
      </c>
      <c r="G116" s="179">
        <f>'[2]2011 tulud'!G114/15.6466</f>
        <v>0</v>
      </c>
      <c r="H116" s="179">
        <f>'[2]2011 tulud'!H114/15.6466</f>
        <v>0</v>
      </c>
      <c r="I116" s="180">
        <f>'[2]2011 tulud'!I114/15.6466</f>
        <v>0</v>
      </c>
      <c r="J116" s="400"/>
      <c r="K116" s="401"/>
      <c r="L116" s="402"/>
      <c r="M116" s="402"/>
      <c r="N116" s="283">
        <f t="shared" si="30"/>
        <v>0</v>
      </c>
      <c r="O116" s="223"/>
      <c r="P116" s="401"/>
      <c r="Q116" s="963"/>
      <c r="R116" s="402"/>
      <c r="S116" s="165">
        <f t="shared" si="33"/>
        <v>0</v>
      </c>
      <c r="T116" s="224"/>
      <c r="U116" s="164"/>
      <c r="V116" s="164">
        <f t="shared" si="34"/>
        <v>0</v>
      </c>
      <c r="W116" s="296">
        <f t="shared" si="31"/>
        <v>0</v>
      </c>
      <c r="X116" s="297"/>
      <c r="Y116" s="109"/>
      <c r="Z116" s="200"/>
      <c r="AA116" s="200"/>
      <c r="AB116" s="200"/>
      <c r="AC116" s="7"/>
      <c r="AD116" s="111"/>
      <c r="AE116" s="324"/>
      <c r="AF116" s="324"/>
      <c r="AG116" s="397"/>
      <c r="AH116" s="397"/>
      <c r="AI116" s="397"/>
      <c r="AJ116" s="397"/>
      <c r="IV116" s="397"/>
    </row>
    <row r="117" spans="1:256" s="403" customFormat="1" ht="11.25" customHeight="1">
      <c r="A117" s="346" t="s">
        <v>208</v>
      </c>
      <c r="B117" s="347" t="s">
        <v>209</v>
      </c>
      <c r="C117" s="348"/>
      <c r="D117" s="291"/>
      <c r="E117" s="177">
        <f>'[2]2011 tulud'!$E115/15.6466</f>
        <v>0</v>
      </c>
      <c r="F117" s="178">
        <f>'[2]2011 tulud'!F115/15.6466</f>
        <v>119316.65665384174</v>
      </c>
      <c r="G117" s="179">
        <f>'[2]2011 tulud'!G115/15.6466</f>
        <v>0</v>
      </c>
      <c r="H117" s="179">
        <f>'[2]2011 tulud'!H115/15.6466</f>
        <v>119521.17392916033</v>
      </c>
      <c r="I117" s="180">
        <f>'[2]2011 tulud'!I115/15.6466</f>
        <v>0</v>
      </c>
      <c r="J117" s="279">
        <f>K117+L117+M117</f>
        <v>141453</v>
      </c>
      <c r="K117" s="302">
        <v>141453</v>
      </c>
      <c r="L117" s="312"/>
      <c r="M117" s="312"/>
      <c r="N117" s="283">
        <f t="shared" si="30"/>
        <v>141453</v>
      </c>
      <c r="O117" s="407">
        <f>P117+Q117+R117</f>
        <v>0</v>
      </c>
      <c r="P117" s="399">
        <v>0</v>
      </c>
      <c r="Q117" s="964"/>
      <c r="R117" s="312"/>
      <c r="S117" s="165">
        <f>N117+O117</f>
        <v>141453</v>
      </c>
      <c r="T117" s="224"/>
      <c r="U117" s="164"/>
      <c r="V117" s="164">
        <f t="shared" si="34"/>
        <v>141453</v>
      </c>
      <c r="W117" s="187">
        <f t="shared" si="31"/>
        <v>141453</v>
      </c>
      <c r="X117" s="188"/>
      <c r="Y117" s="109"/>
      <c r="Z117" s="200"/>
      <c r="AA117" s="200"/>
      <c r="AB117" s="200"/>
      <c r="AC117" s="404"/>
      <c r="AD117" s="324"/>
      <c r="AE117" s="324"/>
      <c r="AF117" s="324"/>
      <c r="AG117" s="397"/>
      <c r="AH117" s="397"/>
      <c r="AI117" s="397"/>
      <c r="AJ117" s="397"/>
      <c r="IV117" s="397"/>
    </row>
    <row r="118" spans="1:256" s="403" customFormat="1" ht="11.25" customHeight="1">
      <c r="A118" s="346" t="s">
        <v>950</v>
      </c>
      <c r="B118" s="347" t="s">
        <v>951</v>
      </c>
      <c r="C118" s="348"/>
      <c r="D118" s="291"/>
      <c r="E118" s="177"/>
      <c r="F118" s="178"/>
      <c r="G118" s="179"/>
      <c r="H118" s="179"/>
      <c r="I118" s="180"/>
      <c r="J118" s="279"/>
      <c r="K118" s="302"/>
      <c r="L118" s="312"/>
      <c r="M118" s="312"/>
      <c r="N118" s="283"/>
      <c r="O118" s="407">
        <f>P118+Q118+R118</f>
        <v>49042</v>
      </c>
      <c r="P118" s="302">
        <v>49042</v>
      </c>
      <c r="Q118" s="312"/>
      <c r="R118" s="312"/>
      <c r="S118" s="165">
        <f t="shared" si="33"/>
        <v>49042</v>
      </c>
      <c r="T118" s="224"/>
      <c r="U118" s="164"/>
      <c r="V118" s="164"/>
      <c r="W118" s="187"/>
      <c r="X118" s="188"/>
      <c r="Y118" s="109"/>
      <c r="Z118" s="200"/>
      <c r="AA118" s="200"/>
      <c r="AB118" s="200"/>
      <c r="AC118" s="404"/>
      <c r="AD118" s="324"/>
      <c r="AE118" s="324"/>
      <c r="AF118" s="324"/>
      <c r="AG118" s="397"/>
      <c r="AH118" s="397"/>
      <c r="AI118" s="397"/>
      <c r="AJ118" s="397"/>
      <c r="IV118" s="397"/>
    </row>
    <row r="119" spans="1:256" s="10" customFormat="1" ht="11.25" customHeight="1">
      <c r="A119" s="192" t="s">
        <v>210</v>
      </c>
      <c r="B119" s="193" t="s">
        <v>187</v>
      </c>
      <c r="C119" s="194"/>
      <c r="D119" s="195"/>
      <c r="E119" s="177">
        <f>'[2]2011 tulud'!$E116/15.6466</f>
        <v>0</v>
      </c>
      <c r="F119" s="178">
        <f>'[2]2011 tulud'!F116/15.6466</f>
        <v>0</v>
      </c>
      <c r="G119" s="179">
        <f>'[2]2011 tulud'!G116/15.6466</f>
        <v>0</v>
      </c>
      <c r="H119" s="179">
        <f>'[2]2011 tulud'!H116/15.6466</f>
        <v>0</v>
      </c>
      <c r="I119" s="180">
        <f>'[2]2011 tulud'!I116/15.6466</f>
        <v>0</v>
      </c>
      <c r="J119" s="279"/>
      <c r="K119" s="164"/>
      <c r="L119" s="225"/>
      <c r="M119" s="225"/>
      <c r="N119" s="283">
        <f t="shared" si="30"/>
        <v>0</v>
      </c>
      <c r="O119" s="222"/>
      <c r="P119" s="164"/>
      <c r="Q119" s="225"/>
      <c r="R119" s="225"/>
      <c r="S119" s="165">
        <f t="shared" si="33"/>
        <v>0</v>
      </c>
      <c r="T119" s="224"/>
      <c r="U119" s="164"/>
      <c r="V119" s="164">
        <f t="shared" si="34"/>
        <v>0</v>
      </c>
      <c r="W119" s="187">
        <f t="shared" si="31"/>
        <v>0</v>
      </c>
      <c r="X119" s="188" t="e">
        <f>G119/E119*100</f>
        <v>#DIV/0!</v>
      </c>
      <c r="Y119" s="109"/>
      <c r="Z119" s="200"/>
      <c r="AA119" s="200"/>
      <c r="AB119" s="200"/>
      <c r="AC119" s="7"/>
      <c r="AD119" s="111"/>
      <c r="AE119" s="88"/>
      <c r="AF119" s="88"/>
      <c r="AG119" s="9"/>
      <c r="AH119" s="9"/>
      <c r="AI119" s="9"/>
      <c r="AJ119" s="9"/>
      <c r="IV119" s="9"/>
    </row>
    <row r="120" spans="1:256" s="10" customFormat="1" ht="11.25" customHeight="1">
      <c r="A120" s="192" t="s">
        <v>211</v>
      </c>
      <c r="B120" s="193" t="s">
        <v>190</v>
      </c>
      <c r="C120" s="194"/>
      <c r="D120" s="195"/>
      <c r="E120" s="177">
        <f>'[2]2011 tulud'!$E117/15.6466</f>
        <v>0</v>
      </c>
      <c r="F120" s="178">
        <f>'[2]2011 tulud'!F117/15.6466</f>
        <v>0</v>
      </c>
      <c r="G120" s="179">
        <f>'[2]2011 tulud'!G117/15.6466</f>
        <v>0</v>
      </c>
      <c r="H120" s="179">
        <f>'[2]2011 tulud'!H117/15.6466</f>
        <v>0</v>
      </c>
      <c r="I120" s="180">
        <f>'[2]2011 tulud'!I117/15.6466</f>
        <v>0</v>
      </c>
      <c r="J120" s="279"/>
      <c r="K120" s="164"/>
      <c r="L120" s="225"/>
      <c r="M120" s="225"/>
      <c r="N120" s="283">
        <f t="shared" si="30"/>
        <v>0</v>
      </c>
      <c r="O120" s="222"/>
      <c r="P120" s="164"/>
      <c r="Q120" s="225"/>
      <c r="R120" s="225"/>
      <c r="S120" s="165">
        <f t="shared" si="33"/>
        <v>0</v>
      </c>
      <c r="T120" s="224"/>
      <c r="U120" s="164"/>
      <c r="V120" s="164">
        <f t="shared" si="34"/>
        <v>0</v>
      </c>
      <c r="W120" s="187">
        <f t="shared" si="31"/>
        <v>0</v>
      </c>
      <c r="X120" s="188" t="e">
        <f>G120/E120*100</f>
        <v>#DIV/0!</v>
      </c>
      <c r="Y120" s="109"/>
      <c r="Z120" s="200"/>
      <c r="AA120" s="200"/>
      <c r="AB120" s="200"/>
      <c r="AC120" s="7"/>
      <c r="AD120" s="111"/>
      <c r="AE120" s="88"/>
      <c r="AF120" s="88"/>
      <c r="AG120" s="9"/>
      <c r="AH120" s="9"/>
      <c r="AI120" s="9"/>
      <c r="AJ120" s="9"/>
      <c r="IV120" s="9"/>
    </row>
    <row r="121" spans="1:256" s="10" customFormat="1" ht="11.25" customHeight="1">
      <c r="A121" s="192" t="s">
        <v>212</v>
      </c>
      <c r="B121" s="193" t="s">
        <v>949</v>
      </c>
      <c r="C121" s="194"/>
      <c r="D121" s="195"/>
      <c r="E121" s="177">
        <f>'[2]2011 tulud'!$E118/15.6466</f>
        <v>0</v>
      </c>
      <c r="F121" s="178">
        <f>'[2]2011 tulud'!F118/15.6466</f>
        <v>31955.824268531185</v>
      </c>
      <c r="G121" s="179">
        <f>'[2]2011 tulud'!G118/15.6466</f>
        <v>0</v>
      </c>
      <c r="H121" s="179">
        <f>'[2]2011 tulud'!H118/15.6466</f>
        <v>0</v>
      </c>
      <c r="I121" s="180">
        <f>'[2]2011 tulud'!I118/15.6466</f>
        <v>0</v>
      </c>
      <c r="J121" s="279"/>
      <c r="K121" s="164"/>
      <c r="L121" s="225"/>
      <c r="M121" s="225"/>
      <c r="N121" s="283">
        <f t="shared" si="30"/>
        <v>0</v>
      </c>
      <c r="O121" s="199">
        <f>P121+Q121+R121</f>
        <v>124703</v>
      </c>
      <c r="P121" s="164">
        <f>102796+21907</f>
        <v>124703</v>
      </c>
      <c r="Q121" s="225"/>
      <c r="R121" s="225"/>
      <c r="S121" s="165">
        <f t="shared" si="33"/>
        <v>124703</v>
      </c>
      <c r="T121" s="224"/>
      <c r="U121" s="164"/>
      <c r="V121" s="164">
        <f t="shared" si="34"/>
        <v>124703</v>
      </c>
      <c r="W121" s="187">
        <f t="shared" si="31"/>
        <v>0</v>
      </c>
      <c r="X121" s="188"/>
      <c r="Y121" s="965"/>
      <c r="Z121" s="200"/>
      <c r="AA121" s="200"/>
      <c r="AB121" s="200"/>
      <c r="AC121" s="86"/>
      <c r="AD121" s="88"/>
      <c r="AE121" s="88"/>
      <c r="AF121" s="88"/>
      <c r="AG121" s="9"/>
      <c r="AH121" s="9"/>
      <c r="AI121" s="9"/>
      <c r="AJ121" s="9"/>
      <c r="IV121" s="9"/>
    </row>
    <row r="122" spans="1:256" s="10" customFormat="1" ht="13.5" customHeight="1" hidden="1" thickBot="1">
      <c r="A122" s="192" t="s">
        <v>213</v>
      </c>
      <c r="B122" s="193" t="s">
        <v>214</v>
      </c>
      <c r="C122" s="194"/>
      <c r="D122" s="195"/>
      <c r="E122" s="177">
        <f>'[2]2011 tulud'!$E119/15.6466</f>
        <v>0</v>
      </c>
      <c r="F122" s="178">
        <f>'[2]2011 tulud'!F119/15.6466</f>
        <v>0</v>
      </c>
      <c r="G122" s="179">
        <f>'[2]2011 tulud'!G119/15.6466</f>
        <v>0</v>
      </c>
      <c r="H122" s="179">
        <f>'[2]2011 tulud'!H119/15.6466</f>
        <v>0</v>
      </c>
      <c r="I122" s="180">
        <f>'[2]2011 tulud'!I119/15.6466</f>
        <v>0</v>
      </c>
      <c r="J122" s="307"/>
      <c r="K122" s="164"/>
      <c r="L122" s="225"/>
      <c r="M122" s="225"/>
      <c r="N122" s="283">
        <f t="shared" si="30"/>
        <v>0</v>
      </c>
      <c r="O122" s="222"/>
      <c r="P122" s="164"/>
      <c r="Q122" s="225"/>
      <c r="R122" s="225"/>
      <c r="S122" s="165">
        <f t="shared" si="33"/>
        <v>0</v>
      </c>
      <c r="T122" s="224"/>
      <c r="U122" s="164"/>
      <c r="V122" s="164">
        <f t="shared" si="34"/>
        <v>0</v>
      </c>
      <c r="W122" s="187">
        <f t="shared" si="31"/>
        <v>0</v>
      </c>
      <c r="X122" s="188" t="e">
        <f>G122/E122*100</f>
        <v>#DIV/0!</v>
      </c>
      <c r="Y122" s="109"/>
      <c r="Z122" s="200"/>
      <c r="AA122" s="200"/>
      <c r="AB122" s="200"/>
      <c r="AC122" s="7"/>
      <c r="AD122" s="405"/>
      <c r="AE122" s="88"/>
      <c r="AF122" s="88"/>
      <c r="AG122" s="9"/>
      <c r="AH122" s="9"/>
      <c r="AI122" s="9"/>
      <c r="AJ122" s="9"/>
      <c r="IV122" s="9"/>
    </row>
    <row r="123" spans="1:256" s="191" customFormat="1" ht="11.25" customHeight="1">
      <c r="A123" s="227" t="s">
        <v>215</v>
      </c>
      <c r="B123" s="281" t="s">
        <v>216</v>
      </c>
      <c r="C123" s="229"/>
      <c r="D123" s="230">
        <v>0</v>
      </c>
      <c r="E123" s="177">
        <f>'[2]2011 tulud'!$E120/15.6466</f>
        <v>0</v>
      </c>
      <c r="F123" s="178">
        <f>'[2]2011 tulud'!F120/15.6466</f>
        <v>2398869.2751140823</v>
      </c>
      <c r="G123" s="179">
        <f>'[2]2011 tulud'!G120/15.6466</f>
        <v>0</v>
      </c>
      <c r="H123" s="179">
        <f>'[2]2011 tulud'!H120/15.6466</f>
        <v>2408847.7368885255</v>
      </c>
      <c r="I123" s="180">
        <f>'[2]2011 tulud'!I120/15.6466</f>
        <v>0</v>
      </c>
      <c r="J123" s="406">
        <f>J128+J145+J146+J147</f>
        <v>2706025</v>
      </c>
      <c r="K123" s="185">
        <f>K128+K145+K146+K147</f>
        <v>2706025</v>
      </c>
      <c r="L123" s="359"/>
      <c r="M123" s="359"/>
      <c r="N123" s="283">
        <f>I123+J123</f>
        <v>2706025</v>
      </c>
      <c r="O123" s="407">
        <f>P123+Q123+R123</f>
        <v>123515</v>
      </c>
      <c r="P123" s="185">
        <f>P128+P143+P145+P146+P147+P144</f>
        <v>94969</v>
      </c>
      <c r="Q123" s="359">
        <f>Q128+Q143+Q145+Q146+Q147+Q144</f>
        <v>27998</v>
      </c>
      <c r="R123" s="359">
        <f>R128+R143+R145+R146+R147+R144</f>
        <v>548</v>
      </c>
      <c r="S123" s="359">
        <f>S128+S145+S146+S147+S144</f>
        <v>2829540</v>
      </c>
      <c r="T123" s="344">
        <f>T128+T143+T145+T146+T147</f>
        <v>0</v>
      </c>
      <c r="U123" s="185">
        <f>U128+U143+U145+U146+U147</f>
        <v>0</v>
      </c>
      <c r="V123" s="185">
        <f>V128+V143+V145+V146+V147</f>
        <v>2829609</v>
      </c>
      <c r="W123" s="187">
        <f t="shared" si="31"/>
        <v>2706025</v>
      </c>
      <c r="X123" s="188"/>
      <c r="Y123" s="109"/>
      <c r="Z123" s="200"/>
      <c r="AA123" s="200"/>
      <c r="AB123" s="200"/>
      <c r="AC123" s="86"/>
      <c r="AD123" s="190"/>
      <c r="AE123" s="88"/>
      <c r="AF123" s="190"/>
      <c r="AG123" s="29"/>
      <c r="AH123" s="29"/>
      <c r="AI123" s="29"/>
      <c r="AJ123" s="29"/>
      <c r="IV123" s="190"/>
    </row>
    <row r="124" spans="1:256" s="149" customFormat="1" ht="11.25" customHeight="1" hidden="1">
      <c r="A124" s="192" t="s">
        <v>217</v>
      </c>
      <c r="B124" s="193" t="s">
        <v>149</v>
      </c>
      <c r="C124" s="194">
        <v>0</v>
      </c>
      <c r="D124" s="195"/>
      <c r="E124" s="177">
        <f>'[2]2011 tulud'!$E121/15.6466</f>
        <v>0</v>
      </c>
      <c r="F124" s="178">
        <f>'[2]2011 tulud'!F121/15.6466</f>
        <v>0</v>
      </c>
      <c r="G124" s="179">
        <f>'[2]2011 tulud'!G121/15.6466</f>
        <v>0</v>
      </c>
      <c r="H124" s="179">
        <f>'[2]2011 tulud'!H121/15.6466</f>
        <v>0</v>
      </c>
      <c r="I124" s="180">
        <f>'[2]2011 tulud'!I121/15.6466</f>
        <v>0</v>
      </c>
      <c r="J124" s="279"/>
      <c r="K124" s="164"/>
      <c r="L124" s="225"/>
      <c r="M124" s="225"/>
      <c r="N124" s="283">
        <f t="shared" si="30"/>
        <v>0</v>
      </c>
      <c r="O124" s="223"/>
      <c r="P124" s="164"/>
      <c r="Q124" s="225"/>
      <c r="R124" s="225"/>
      <c r="S124" s="165"/>
      <c r="T124" s="224"/>
      <c r="U124" s="164"/>
      <c r="V124" s="164"/>
      <c r="W124" s="187">
        <f t="shared" si="31"/>
        <v>0</v>
      </c>
      <c r="X124" s="188" t="e">
        <f>G124/E124*100</f>
        <v>#DIV/0!</v>
      </c>
      <c r="Y124" s="109"/>
      <c r="Z124" s="200"/>
      <c r="AA124" s="200"/>
      <c r="AB124" s="200"/>
      <c r="AC124" s="7"/>
      <c r="AD124" s="111"/>
      <c r="AE124" s="88"/>
      <c r="AF124" s="88"/>
      <c r="AG124" s="9"/>
      <c r="AH124" s="9"/>
      <c r="AI124" s="9"/>
      <c r="AJ124" s="9"/>
      <c r="IV124" s="88"/>
    </row>
    <row r="125" spans="1:36" ht="11.25" customHeight="1" hidden="1">
      <c r="A125" s="192" t="s">
        <v>218</v>
      </c>
      <c r="B125" s="193" t="s">
        <v>151</v>
      </c>
      <c r="C125" s="194"/>
      <c r="D125" s="195"/>
      <c r="E125" s="177">
        <f>'[2]2011 tulud'!$E122/15.6466</f>
        <v>0</v>
      </c>
      <c r="F125" s="178">
        <f>'[2]2011 tulud'!F122/15.6466</f>
        <v>0</v>
      </c>
      <c r="G125" s="179">
        <f>'[2]2011 tulud'!G122/15.6466</f>
        <v>0</v>
      </c>
      <c r="H125" s="179">
        <f>'[2]2011 tulud'!H122/15.6466</f>
        <v>0</v>
      </c>
      <c r="I125" s="180">
        <f>'[2]2011 tulud'!I122/15.6466</f>
        <v>0</v>
      </c>
      <c r="J125" s="279"/>
      <c r="K125" s="164"/>
      <c r="L125" s="225"/>
      <c r="M125" s="225"/>
      <c r="N125" s="283">
        <f t="shared" si="30"/>
        <v>0</v>
      </c>
      <c r="O125" s="223"/>
      <c r="P125" s="164"/>
      <c r="Q125" s="225"/>
      <c r="R125" s="225"/>
      <c r="S125" s="165"/>
      <c r="T125" s="224"/>
      <c r="U125" s="164"/>
      <c r="V125" s="164"/>
      <c r="W125" s="187">
        <f t="shared" si="31"/>
        <v>0</v>
      </c>
      <c r="X125" s="188" t="e">
        <f>G125/E125*100</f>
        <v>#DIV/0!</v>
      </c>
      <c r="Y125" s="109"/>
      <c r="Z125" s="200"/>
      <c r="AA125" s="200"/>
      <c r="AB125" s="200"/>
      <c r="AC125" s="7"/>
      <c r="AD125" s="111"/>
      <c r="AE125" s="88"/>
      <c r="AF125" s="88"/>
      <c r="AG125" s="9"/>
      <c r="AH125" s="9"/>
      <c r="AI125" s="9"/>
      <c r="AJ125" s="9"/>
    </row>
    <row r="126" spans="1:36" ht="11.25" customHeight="1" hidden="1">
      <c r="A126" s="192" t="s">
        <v>219</v>
      </c>
      <c r="B126" s="193" t="s">
        <v>153</v>
      </c>
      <c r="C126" s="194"/>
      <c r="D126" s="195" t="s">
        <v>220</v>
      </c>
      <c r="E126" s="177"/>
      <c r="F126" s="178">
        <f>'[2]2011 tulud'!F123/15.6466</f>
        <v>0</v>
      </c>
      <c r="G126" s="179"/>
      <c r="H126" s="179"/>
      <c r="I126" s="180"/>
      <c r="J126" s="279"/>
      <c r="K126" s="164"/>
      <c r="L126" s="225"/>
      <c r="M126" s="225"/>
      <c r="N126" s="283">
        <f t="shared" si="30"/>
        <v>0</v>
      </c>
      <c r="O126" s="223"/>
      <c r="P126" s="164"/>
      <c r="Q126" s="225"/>
      <c r="R126" s="225"/>
      <c r="S126" s="165"/>
      <c r="T126" s="224"/>
      <c r="U126" s="164"/>
      <c r="V126" s="164"/>
      <c r="W126" s="187">
        <f t="shared" si="31"/>
        <v>0</v>
      </c>
      <c r="X126" s="188" t="e">
        <f>G126/E126*100</f>
        <v>#DIV/0!</v>
      </c>
      <c r="Y126" s="109"/>
      <c r="Z126" s="200"/>
      <c r="AA126" s="200"/>
      <c r="AB126" s="200"/>
      <c r="AC126" s="7"/>
      <c r="AD126" s="111"/>
      <c r="AE126" s="88"/>
      <c r="AF126" s="88"/>
      <c r="AG126" s="9"/>
      <c r="AH126" s="9"/>
      <c r="AI126" s="9"/>
      <c r="AJ126" s="9"/>
    </row>
    <row r="127" spans="1:36" ht="11.25" customHeight="1" hidden="1">
      <c r="A127" s="192" t="s">
        <v>221</v>
      </c>
      <c r="B127" s="193" t="s">
        <v>222</v>
      </c>
      <c r="C127" s="194" t="s">
        <v>220</v>
      </c>
      <c r="D127" s="195"/>
      <c r="E127" s="177">
        <f>'[2]2011 tulud'!$E124/15.6466</f>
        <v>0</v>
      </c>
      <c r="F127" s="178">
        <f>'[2]2011 tulud'!F124/15.6466</f>
        <v>0</v>
      </c>
      <c r="G127" s="179">
        <f>'[2]2011 tulud'!G124/15.6466</f>
        <v>0</v>
      </c>
      <c r="H127" s="179">
        <f>'[2]2011 tulud'!H124/15.6466</f>
        <v>0</v>
      </c>
      <c r="I127" s="180">
        <f>'[2]2011 tulud'!I124/15.6466</f>
        <v>0</v>
      </c>
      <c r="J127" s="279"/>
      <c r="K127" s="382"/>
      <c r="L127" s="225"/>
      <c r="M127" s="225"/>
      <c r="N127" s="283">
        <f t="shared" si="30"/>
        <v>0</v>
      </c>
      <c r="O127" s="223"/>
      <c r="P127" s="382"/>
      <c r="Q127" s="225"/>
      <c r="R127" s="225"/>
      <c r="S127" s="165"/>
      <c r="T127" s="224"/>
      <c r="U127" s="164"/>
      <c r="V127" s="164"/>
      <c r="W127" s="187">
        <f t="shared" si="31"/>
        <v>0</v>
      </c>
      <c r="X127" s="188" t="e">
        <f>G127/E127*100</f>
        <v>#DIV/0!</v>
      </c>
      <c r="Y127" s="109"/>
      <c r="Z127" s="200"/>
      <c r="AA127" s="200"/>
      <c r="AB127" s="200"/>
      <c r="AC127" s="7"/>
      <c r="AD127" s="111"/>
      <c r="AE127" s="88"/>
      <c r="AF127" s="88"/>
      <c r="AG127" s="9"/>
      <c r="AH127" s="9"/>
      <c r="AI127" s="9"/>
      <c r="AJ127" s="9"/>
    </row>
    <row r="128" spans="1:256" s="10" customFormat="1" ht="11.25" customHeight="1">
      <c r="A128" s="192" t="s">
        <v>223</v>
      </c>
      <c r="B128" s="193" t="s">
        <v>224</v>
      </c>
      <c r="C128" s="194"/>
      <c r="D128" s="195">
        <v>0</v>
      </c>
      <c r="E128" s="177">
        <f>'[2]2011 tulud'!$E125/15.6466</f>
        <v>0</v>
      </c>
      <c r="F128" s="178">
        <f>'[2]2011 tulud'!F125/15.6466</f>
        <v>2398732.376362916</v>
      </c>
      <c r="G128" s="179">
        <f>'[2]2011 tulud'!G125/15.6466</f>
        <v>0</v>
      </c>
      <c r="H128" s="179">
        <f>'[2]2011 tulud'!H125/15.6466</f>
        <v>2408847.7368885255</v>
      </c>
      <c r="I128" s="180">
        <f>'[2]2011 tulud'!I125/15.6466</f>
        <v>0</v>
      </c>
      <c r="J128" s="279">
        <f>SUM(J129)</f>
        <v>2704105</v>
      </c>
      <c r="K128" s="164">
        <f>SUM(K129)</f>
        <v>2704105</v>
      </c>
      <c r="L128" s="225"/>
      <c r="M128" s="225"/>
      <c r="N128" s="283">
        <f t="shared" si="30"/>
        <v>2704105</v>
      </c>
      <c r="O128" s="223">
        <f>SUM(O129)</f>
        <v>94969</v>
      </c>
      <c r="P128" s="164">
        <f>SUM(P129)</f>
        <v>94969</v>
      </c>
      <c r="Q128" s="225"/>
      <c r="R128" s="225"/>
      <c r="S128" s="165">
        <f>N128+O128</f>
        <v>2799074</v>
      </c>
      <c r="T128" s="224">
        <f>SUM(T129)</f>
        <v>0</v>
      </c>
      <c r="U128" s="164">
        <f>SUM(U129)</f>
        <v>0</v>
      </c>
      <c r="V128" s="292">
        <f aca="true" t="shared" si="35" ref="V128:V133">S128+T128</f>
        <v>2799074</v>
      </c>
      <c r="W128" s="187">
        <f t="shared" si="31"/>
        <v>2704105</v>
      </c>
      <c r="X128" s="188"/>
      <c r="Y128" s="109"/>
      <c r="Z128" s="200"/>
      <c r="AA128" s="200"/>
      <c r="AB128" s="200"/>
      <c r="AC128" s="7"/>
      <c r="AD128" s="111"/>
      <c r="AE128" s="88"/>
      <c r="AF128" s="88"/>
      <c r="AG128" s="9"/>
      <c r="AH128" s="9"/>
      <c r="AI128" s="9"/>
      <c r="AJ128" s="9"/>
      <c r="IV128" s="9"/>
    </row>
    <row r="129" spans="1:256" s="10" customFormat="1" ht="11.25" customHeight="1">
      <c r="A129" s="192" t="s">
        <v>225</v>
      </c>
      <c r="B129" s="193" t="s">
        <v>226</v>
      </c>
      <c r="C129" s="194">
        <v>0</v>
      </c>
      <c r="D129" s="195">
        <v>0</v>
      </c>
      <c r="E129" s="177">
        <f>'[2]2011 tulud'!$E126/15.6466</f>
        <v>0</v>
      </c>
      <c r="F129" s="178">
        <f>'[2]2011 tulud'!F126/15.6466</f>
        <v>2398732.376362916</v>
      </c>
      <c r="G129" s="179">
        <f>'[2]2011 tulud'!G126/15.6466</f>
        <v>0</v>
      </c>
      <c r="H129" s="179">
        <f>'[2]2011 tulud'!H126/15.6466</f>
        <v>2408847.7368885255</v>
      </c>
      <c r="I129" s="180">
        <f>'[2]2011 tulud'!I126/15.6466</f>
        <v>0</v>
      </c>
      <c r="J129" s="279">
        <f>SUM(J130:J131)</f>
        <v>2704105</v>
      </c>
      <c r="K129" s="164">
        <f>SUM(K130:K131)</f>
        <v>2704105</v>
      </c>
      <c r="L129" s="225"/>
      <c r="M129" s="225"/>
      <c r="N129" s="283">
        <f t="shared" si="30"/>
        <v>2704105</v>
      </c>
      <c r="O129" s="223">
        <f>SUM(O130:O131)</f>
        <v>94969</v>
      </c>
      <c r="P129" s="164">
        <f>SUM(P130:P131)</f>
        <v>94969</v>
      </c>
      <c r="Q129" s="225"/>
      <c r="R129" s="225"/>
      <c r="S129" s="165">
        <f>N129+O129</f>
        <v>2799074</v>
      </c>
      <c r="T129" s="224">
        <f>SUM(T130:T131)</f>
        <v>0</v>
      </c>
      <c r="U129" s="164">
        <f>SUM(U130:U131)</f>
        <v>0</v>
      </c>
      <c r="V129" s="292">
        <f t="shared" si="35"/>
        <v>2799074</v>
      </c>
      <c r="W129" s="187">
        <f t="shared" si="31"/>
        <v>2704105</v>
      </c>
      <c r="X129" s="188"/>
      <c r="Y129" s="109"/>
      <c r="Z129" s="200"/>
      <c r="AA129" s="200"/>
      <c r="AB129" s="200"/>
      <c r="AC129" s="7"/>
      <c r="AD129" s="111"/>
      <c r="AE129" s="88"/>
      <c r="AF129" s="88"/>
      <c r="AG129" s="9"/>
      <c r="AH129" s="9"/>
      <c r="AI129" s="9"/>
      <c r="AJ129" s="9"/>
      <c r="IV129" s="9"/>
    </row>
    <row r="130" spans="1:256" s="10" customFormat="1" ht="11.25" customHeight="1">
      <c r="A130" s="192"/>
      <c r="B130" s="193" t="s">
        <v>227</v>
      </c>
      <c r="C130" s="194">
        <v>0</v>
      </c>
      <c r="D130" s="195"/>
      <c r="E130" s="177">
        <f>'[2]2011 tulud'!$E127/15.6466</f>
        <v>0</v>
      </c>
      <c r="F130" s="178">
        <f>'[2]2011 tulud'!F127/15.6466</f>
        <v>0</v>
      </c>
      <c r="G130" s="179">
        <f>'[2]2011 tulud'!G127/15.6466</f>
        <v>0</v>
      </c>
      <c r="H130" s="179">
        <f>'[2]2011 tulud'!H127/15.6466</f>
        <v>0</v>
      </c>
      <c r="I130" s="180">
        <f>'[2]2011 tulud'!I127/15.6466</f>
        <v>0</v>
      </c>
      <c r="J130" s="279"/>
      <c r="K130" s="164"/>
      <c r="L130" s="225"/>
      <c r="M130" s="225"/>
      <c r="N130" s="283">
        <f t="shared" si="30"/>
        <v>0</v>
      </c>
      <c r="O130" s="223"/>
      <c r="P130" s="164"/>
      <c r="Q130" s="225"/>
      <c r="R130" s="225"/>
      <c r="S130" s="165">
        <f>N130+O130</f>
        <v>0</v>
      </c>
      <c r="T130" s="224"/>
      <c r="U130" s="164"/>
      <c r="V130" s="292">
        <f t="shared" si="35"/>
        <v>0</v>
      </c>
      <c r="W130" s="187">
        <f t="shared" si="31"/>
        <v>0</v>
      </c>
      <c r="X130" s="188"/>
      <c r="Y130" s="109"/>
      <c r="Z130" s="200"/>
      <c r="AA130" s="200"/>
      <c r="AB130" s="200"/>
      <c r="AC130" s="7"/>
      <c r="AD130" s="111"/>
      <c r="AE130" s="88"/>
      <c r="AF130" s="88"/>
      <c r="AG130" s="9"/>
      <c r="AH130" s="9"/>
      <c r="AI130" s="9"/>
      <c r="AJ130" s="9"/>
      <c r="IV130" s="9"/>
    </row>
    <row r="131" spans="1:256" s="10" customFormat="1" ht="11.25" customHeight="1">
      <c r="A131" s="192"/>
      <c r="B131" s="193" t="s">
        <v>228</v>
      </c>
      <c r="C131" s="194"/>
      <c r="D131" s="195">
        <v>0</v>
      </c>
      <c r="E131" s="177">
        <f>'[2]2011 tulud'!$E128/15.6466</f>
        <v>0</v>
      </c>
      <c r="F131" s="178">
        <f>'[2]2011 tulud'!F128/15.6466</f>
        <v>2398732.376362916</v>
      </c>
      <c r="G131" s="179">
        <f>'[2]2011 tulud'!G128/15.6466</f>
        <v>0</v>
      </c>
      <c r="H131" s="179">
        <f>'[2]2011 tulud'!H128/15.6466</f>
        <v>2408847.7368885255</v>
      </c>
      <c r="I131" s="180">
        <f>'[2]2011 tulud'!I128/15.6466</f>
        <v>0</v>
      </c>
      <c r="J131" s="282">
        <f>SUM(J133:J143)</f>
        <v>2704105</v>
      </c>
      <c r="K131" s="185">
        <f>SUM(K133:K143)</f>
        <v>2704105</v>
      </c>
      <c r="L131" s="225"/>
      <c r="M131" s="225"/>
      <c r="N131" s="283">
        <f t="shared" si="30"/>
        <v>2704105</v>
      </c>
      <c r="O131" s="222">
        <f>SUM(O133:O142)</f>
        <v>94969</v>
      </c>
      <c r="P131" s="185">
        <f>SUM(P133:P143)</f>
        <v>94969</v>
      </c>
      <c r="Q131" s="225"/>
      <c r="R131" s="225"/>
      <c r="S131" s="165">
        <f>N131+O131</f>
        <v>2799074</v>
      </c>
      <c r="T131" s="224">
        <f>SUM(T133:T141)</f>
        <v>0</v>
      </c>
      <c r="U131" s="164">
        <f>SUM(U133:U141)</f>
        <v>0</v>
      </c>
      <c r="V131" s="292">
        <f t="shared" si="35"/>
        <v>2799074</v>
      </c>
      <c r="W131" s="187">
        <f t="shared" si="31"/>
        <v>2704105</v>
      </c>
      <c r="X131" s="188"/>
      <c r="Y131" s="109"/>
      <c r="Z131" s="200"/>
      <c r="AA131" s="200"/>
      <c r="AB131" s="200"/>
      <c r="AC131" s="7"/>
      <c r="AD131" s="111"/>
      <c r="AE131" s="88"/>
      <c r="AF131" s="88"/>
      <c r="AG131" s="9"/>
      <c r="AH131" s="9"/>
      <c r="AI131" s="9"/>
      <c r="AJ131" s="9"/>
      <c r="IV131" s="9"/>
    </row>
    <row r="132" spans="1:256" s="10" customFormat="1" ht="11.25" customHeight="1">
      <c r="A132" s="192"/>
      <c r="B132" s="193" t="s">
        <v>229</v>
      </c>
      <c r="C132" s="194"/>
      <c r="D132" s="195"/>
      <c r="E132" s="177"/>
      <c r="F132" s="178"/>
      <c r="G132" s="179"/>
      <c r="H132" s="179"/>
      <c r="I132" s="180"/>
      <c r="J132" s="406">
        <f>SUM(J133:J139)</f>
        <v>2064817</v>
      </c>
      <c r="K132" s="185">
        <f>SUM(K133:K139)</f>
        <v>2064817</v>
      </c>
      <c r="L132" s="225"/>
      <c r="M132" s="225"/>
      <c r="N132" s="283"/>
      <c r="O132" s="222"/>
      <c r="P132" s="185">
        <f>SUM(P133:P139)</f>
        <v>0</v>
      </c>
      <c r="Q132" s="225"/>
      <c r="R132" s="225"/>
      <c r="S132" s="165"/>
      <c r="T132" s="224"/>
      <c r="U132" s="164"/>
      <c r="V132" s="292"/>
      <c r="W132" s="187"/>
      <c r="X132" s="188"/>
      <c r="Y132" s="109"/>
      <c r="Z132" s="200"/>
      <c r="AA132" s="200"/>
      <c r="AB132" s="200"/>
      <c r="AC132" s="7"/>
      <c r="AD132" s="111"/>
      <c r="AE132" s="88"/>
      <c r="AF132" s="88"/>
      <c r="AG132" s="9"/>
      <c r="AH132" s="9"/>
      <c r="AI132" s="9"/>
      <c r="AJ132" s="9"/>
      <c r="IV132" s="9"/>
    </row>
    <row r="133" spans="1:256" s="403" customFormat="1" ht="11.25" customHeight="1">
      <c r="A133" s="346"/>
      <c r="B133" s="347" t="s">
        <v>230</v>
      </c>
      <c r="C133" s="348">
        <v>0</v>
      </c>
      <c r="D133" s="291"/>
      <c r="E133" s="177">
        <f>'[2]2011 tulud'!$E129/15.6466</f>
        <v>0</v>
      </c>
      <c r="F133" s="178">
        <f>'[2]2011 tulud'!F129/15.6466</f>
        <v>1913718.571446832</v>
      </c>
      <c r="G133" s="179">
        <f>'[2]2011 tulud'!G129/15.6466</f>
        <v>0</v>
      </c>
      <c r="H133" s="179">
        <f>'[2]2011 tulud'!H129/15.6466</f>
        <v>1861863.4080247467</v>
      </c>
      <c r="I133" s="180">
        <f>'[2]2011 tulud'!I129/15.6466</f>
        <v>0</v>
      </c>
      <c r="J133" s="279">
        <f aca="true" t="shared" si="36" ref="J133:J145">K133+L133+M133</f>
        <v>1772955</v>
      </c>
      <c r="K133" s="292">
        <v>1772955</v>
      </c>
      <c r="L133" s="361"/>
      <c r="M133" s="361"/>
      <c r="N133" s="283">
        <f t="shared" si="30"/>
        <v>1772955</v>
      </c>
      <c r="O133" s="349"/>
      <c r="P133" s="292"/>
      <c r="Q133" s="361"/>
      <c r="R133" s="361"/>
      <c r="S133" s="350">
        <f aca="true" t="shared" si="37" ref="S133:S147">N133+O133</f>
        <v>1772955</v>
      </c>
      <c r="T133" s="295"/>
      <c r="U133" s="292"/>
      <c r="V133" s="292">
        <f t="shared" si="35"/>
        <v>1772955</v>
      </c>
      <c r="W133" s="187">
        <f t="shared" si="31"/>
        <v>1772955</v>
      </c>
      <c r="X133" s="188"/>
      <c r="Y133" s="109"/>
      <c r="Z133" s="200"/>
      <c r="AA133" s="200"/>
      <c r="AB133" s="200"/>
      <c r="AC133" s="298"/>
      <c r="AD133" s="111"/>
      <c r="AE133" s="324"/>
      <c r="AF133" s="324"/>
      <c r="AG133" s="397"/>
      <c r="AH133" s="397"/>
      <c r="AI133" s="397"/>
      <c r="AJ133" s="397"/>
      <c r="IV133" s="397"/>
    </row>
    <row r="134" spans="1:256" s="403" customFormat="1" ht="11.25" customHeight="1">
      <c r="A134" s="346"/>
      <c r="B134" s="347" t="s">
        <v>231</v>
      </c>
      <c r="C134" s="348"/>
      <c r="D134" s="291"/>
      <c r="E134" s="177"/>
      <c r="F134" s="178"/>
      <c r="G134" s="179"/>
      <c r="H134" s="179"/>
      <c r="I134" s="180"/>
      <c r="J134" s="279">
        <f t="shared" si="36"/>
        <v>81225</v>
      </c>
      <c r="K134" s="292">
        <v>81225</v>
      </c>
      <c r="L134" s="361"/>
      <c r="M134" s="361"/>
      <c r="N134" s="283">
        <f t="shared" si="30"/>
        <v>81225</v>
      </c>
      <c r="O134" s="349"/>
      <c r="P134" s="292"/>
      <c r="Q134" s="361"/>
      <c r="R134" s="361"/>
      <c r="S134" s="350">
        <f>N134+O134</f>
        <v>81225</v>
      </c>
      <c r="T134" s="295"/>
      <c r="U134" s="292"/>
      <c r="V134" s="292"/>
      <c r="W134" s="187"/>
      <c r="X134" s="188"/>
      <c r="Y134" s="109"/>
      <c r="Z134" s="200"/>
      <c r="AA134" s="200"/>
      <c r="AB134" s="200"/>
      <c r="AC134" s="298"/>
      <c r="AD134" s="111"/>
      <c r="AE134" s="324"/>
      <c r="AF134" s="324"/>
      <c r="AG134" s="397"/>
      <c r="AH134" s="397"/>
      <c r="AI134" s="397"/>
      <c r="AJ134" s="397"/>
      <c r="IV134" s="397"/>
    </row>
    <row r="135" spans="1:256" s="403" customFormat="1" ht="11.25" customHeight="1">
      <c r="A135" s="346"/>
      <c r="B135" s="347" t="s">
        <v>232</v>
      </c>
      <c r="C135" s="348">
        <v>0</v>
      </c>
      <c r="D135" s="291"/>
      <c r="E135" s="177">
        <f>'[2]2011 tulud'!$E130/15.6466</f>
        <v>0</v>
      </c>
      <c r="F135" s="178">
        <f>'[2]2011 tulud'!F130/15.6466</f>
        <v>0</v>
      </c>
      <c r="G135" s="179">
        <f>'[2]2011 tulud'!G130/15.6466</f>
        <v>0</v>
      </c>
      <c r="H135" s="179">
        <f>'[2]2011 tulud'!H130/15.6466</f>
        <v>0</v>
      </c>
      <c r="I135" s="180">
        <f>'[2]2011 tulud'!I130/15.6466</f>
        <v>0</v>
      </c>
      <c r="J135" s="279">
        <f>K135+L135+M135</f>
        <v>32511</v>
      </c>
      <c r="K135" s="292">
        <v>32511</v>
      </c>
      <c r="L135" s="361"/>
      <c r="M135" s="361"/>
      <c r="N135" s="283">
        <f>I135+J135</f>
        <v>32511</v>
      </c>
      <c r="O135" s="349"/>
      <c r="P135" s="292"/>
      <c r="Q135" s="361"/>
      <c r="R135" s="361"/>
      <c r="S135" s="350">
        <f>N135+O135</f>
        <v>32511</v>
      </c>
      <c r="T135" s="295"/>
      <c r="U135" s="292"/>
      <c r="V135" s="292">
        <f>S135+T135</f>
        <v>32511</v>
      </c>
      <c r="W135" s="187">
        <f>N135-G135</f>
        <v>32511</v>
      </c>
      <c r="X135" s="188"/>
      <c r="Y135" s="109"/>
      <c r="Z135" s="200"/>
      <c r="AA135" s="200"/>
      <c r="AB135" s="200"/>
      <c r="AC135" s="298"/>
      <c r="AD135" s="111"/>
      <c r="AE135" s="324"/>
      <c r="AF135" s="324"/>
      <c r="AG135" s="397"/>
      <c r="AH135" s="397"/>
      <c r="AI135" s="397"/>
      <c r="AJ135" s="397"/>
      <c r="IV135" s="397"/>
    </row>
    <row r="136" spans="1:256" s="403" customFormat="1" ht="11.25" customHeight="1">
      <c r="A136" s="346"/>
      <c r="B136" s="347" t="s">
        <v>233</v>
      </c>
      <c r="C136" s="348"/>
      <c r="D136" s="291"/>
      <c r="E136" s="177">
        <f>'[2]2011 tulud'!$E131/15.6466</f>
        <v>0</v>
      </c>
      <c r="F136" s="178">
        <f>'[2]2011 tulud'!F131/15.6466</f>
        <v>0</v>
      </c>
      <c r="G136" s="179">
        <f>'[2]2011 tulud'!G131/15.6466</f>
        <v>0</v>
      </c>
      <c r="H136" s="179">
        <f>'[2]2011 tulud'!H131/15.6466</f>
        <v>0</v>
      </c>
      <c r="I136" s="180">
        <f>'[2]2011 tulud'!I131/15.6466</f>
        <v>0</v>
      </c>
      <c r="J136" s="279">
        <f t="shared" si="36"/>
        <v>7395</v>
      </c>
      <c r="K136" s="292">
        <v>7395</v>
      </c>
      <c r="L136" s="361"/>
      <c r="M136" s="361"/>
      <c r="N136" s="283">
        <f t="shared" si="30"/>
        <v>7395</v>
      </c>
      <c r="O136" s="222"/>
      <c r="P136" s="292"/>
      <c r="Q136" s="361"/>
      <c r="R136" s="361"/>
      <c r="S136" s="165">
        <f t="shared" si="37"/>
        <v>7395</v>
      </c>
      <c r="T136" s="224"/>
      <c r="U136" s="164"/>
      <c r="V136" s="164"/>
      <c r="W136" s="187">
        <f t="shared" si="31"/>
        <v>7395</v>
      </c>
      <c r="X136" s="188" t="e">
        <f>G136/E136*100</f>
        <v>#DIV/0!</v>
      </c>
      <c r="Y136" s="109"/>
      <c r="Z136" s="200"/>
      <c r="AA136" s="200"/>
      <c r="AB136" s="200"/>
      <c r="AC136" s="7"/>
      <c r="AD136" s="111"/>
      <c r="AE136" s="324"/>
      <c r="AF136" s="324"/>
      <c r="AG136" s="397"/>
      <c r="AH136" s="397"/>
      <c r="AI136" s="397"/>
      <c r="AJ136" s="397"/>
      <c r="IV136" s="397"/>
    </row>
    <row r="137" spans="1:256" s="403" customFormat="1" ht="11.25" customHeight="1">
      <c r="A137" s="346"/>
      <c r="B137" s="347" t="s">
        <v>234</v>
      </c>
      <c r="C137" s="348"/>
      <c r="D137" s="291"/>
      <c r="E137" s="177">
        <f>'[2]2011 tulud'!$E132/15.6466</f>
        <v>0</v>
      </c>
      <c r="F137" s="178">
        <f>'[2]2011 tulud'!F132/15.6466</f>
        <v>0</v>
      </c>
      <c r="G137" s="179">
        <f>'[2]2011 tulud'!G132/15.6466</f>
        <v>0</v>
      </c>
      <c r="H137" s="179">
        <f>'[2]2011 tulud'!H132/15.6466</f>
        <v>0</v>
      </c>
      <c r="I137" s="180">
        <f>'[2]2011 tulud'!I132/15.6466</f>
        <v>0</v>
      </c>
      <c r="J137" s="279">
        <f t="shared" si="36"/>
        <v>4745</v>
      </c>
      <c r="K137" s="292">
        <v>4745</v>
      </c>
      <c r="L137" s="361"/>
      <c r="M137" s="361"/>
      <c r="N137" s="283">
        <f t="shared" si="30"/>
        <v>4745</v>
      </c>
      <c r="O137" s="349"/>
      <c r="P137" s="292"/>
      <c r="Q137" s="361"/>
      <c r="R137" s="361"/>
      <c r="S137" s="350">
        <f t="shared" si="37"/>
        <v>4745</v>
      </c>
      <c r="T137" s="295"/>
      <c r="U137" s="292"/>
      <c r="V137" s="292">
        <f>S137+T137</f>
        <v>4745</v>
      </c>
      <c r="W137" s="187">
        <f t="shared" si="31"/>
        <v>4745</v>
      </c>
      <c r="X137" s="188" t="e">
        <f>G137/E137*100</f>
        <v>#DIV/0!</v>
      </c>
      <c r="Y137" s="109"/>
      <c r="Z137" s="200"/>
      <c r="AA137" s="200"/>
      <c r="AB137" s="200"/>
      <c r="AC137" s="298"/>
      <c r="AD137" s="111"/>
      <c r="AE137" s="324"/>
      <c r="AF137" s="324"/>
      <c r="AG137" s="397"/>
      <c r="AH137" s="397"/>
      <c r="AI137" s="397"/>
      <c r="AJ137" s="397"/>
      <c r="IV137" s="397"/>
    </row>
    <row r="138" spans="1:256" s="403" customFormat="1" ht="11.25" customHeight="1">
      <c r="A138" s="346"/>
      <c r="B138" s="347" t="s">
        <v>235</v>
      </c>
      <c r="C138" s="348"/>
      <c r="D138" s="291"/>
      <c r="E138" s="177">
        <f>'[2]2011 tulud'!$E133/15.6466</f>
        <v>0</v>
      </c>
      <c r="F138" s="178">
        <f>'[2]2011 tulud'!F133/15.6466</f>
        <v>0</v>
      </c>
      <c r="G138" s="179">
        <f>'[2]2011 tulud'!G133/15.6466</f>
        <v>0</v>
      </c>
      <c r="H138" s="179">
        <f>'[2]2011 tulud'!H133/15.6466</f>
        <v>0</v>
      </c>
      <c r="I138" s="180">
        <f>'[2]2011 tulud'!I133/15.6466</f>
        <v>0</v>
      </c>
      <c r="J138" s="279">
        <f t="shared" si="36"/>
        <v>15698</v>
      </c>
      <c r="K138" s="292">
        <v>15698</v>
      </c>
      <c r="L138" s="361"/>
      <c r="M138" s="361"/>
      <c r="N138" s="283">
        <f t="shared" si="30"/>
        <v>15698</v>
      </c>
      <c r="O138" s="349"/>
      <c r="P138" s="292"/>
      <c r="Q138" s="361"/>
      <c r="R138" s="361"/>
      <c r="S138" s="350">
        <f t="shared" si="37"/>
        <v>15698</v>
      </c>
      <c r="T138" s="295"/>
      <c r="U138" s="292"/>
      <c r="V138" s="292"/>
      <c r="W138" s="187">
        <f t="shared" si="31"/>
        <v>15698</v>
      </c>
      <c r="X138" s="188" t="e">
        <f>G138/E138*100</f>
        <v>#DIV/0!</v>
      </c>
      <c r="Y138" s="109"/>
      <c r="Z138" s="200"/>
      <c r="AA138" s="200"/>
      <c r="AB138" s="200"/>
      <c r="AC138" s="298"/>
      <c r="AD138" s="111"/>
      <c r="AE138" s="324"/>
      <c r="AF138" s="324"/>
      <c r="AG138" s="397"/>
      <c r="AH138" s="397"/>
      <c r="AI138" s="397"/>
      <c r="AJ138" s="397"/>
      <c r="IV138" s="397"/>
    </row>
    <row r="139" spans="1:256" s="403" customFormat="1" ht="11.25" customHeight="1">
      <c r="A139" s="346"/>
      <c r="B139" s="193" t="s">
        <v>236</v>
      </c>
      <c r="C139" s="194"/>
      <c r="D139" s="408"/>
      <c r="E139" s="177">
        <f>'[2]2011 tulud'!$E136/15.6466</f>
        <v>0</v>
      </c>
      <c r="F139" s="178">
        <f>'[2]2011 tulud'!F136/15.6466</f>
        <v>139772.47453120808</v>
      </c>
      <c r="G139" s="179">
        <f>'[2]2011 tulud'!G136/15.6466</f>
        <v>0</v>
      </c>
      <c r="H139" s="179">
        <f>'[2]2011 tulud'!H136/15.6466</f>
        <v>141952.5647744558</v>
      </c>
      <c r="I139" s="180">
        <f>'[2]2011 tulud'!I136/15.6466</f>
        <v>0</v>
      </c>
      <c r="J139" s="279">
        <f t="shared" si="36"/>
        <v>150288</v>
      </c>
      <c r="K139" s="292">
        <v>150288</v>
      </c>
      <c r="L139" s="361"/>
      <c r="M139" s="361"/>
      <c r="N139" s="283">
        <f>I139+J139</f>
        <v>150288</v>
      </c>
      <c r="O139" s="349"/>
      <c r="P139" s="292"/>
      <c r="Q139" s="361"/>
      <c r="R139" s="361"/>
      <c r="S139" s="165">
        <f>N139+O139</f>
        <v>150288</v>
      </c>
      <c r="T139" s="295"/>
      <c r="U139" s="292"/>
      <c r="V139" s="164">
        <f>S139+T139</f>
        <v>150288</v>
      </c>
      <c r="W139" s="187">
        <f>N139-G139</f>
        <v>150288</v>
      </c>
      <c r="X139" s="188"/>
      <c r="Y139" s="109"/>
      <c r="Z139" s="200"/>
      <c r="AA139" s="200"/>
      <c r="AB139" s="200"/>
      <c r="AC139" s="298"/>
      <c r="AD139" s="111"/>
      <c r="AE139" s="324"/>
      <c r="AF139" s="324"/>
      <c r="AG139" s="397"/>
      <c r="AH139" s="397"/>
      <c r="AI139" s="397"/>
      <c r="AJ139" s="397"/>
      <c r="IV139" s="397"/>
    </row>
    <row r="140" spans="1:256" s="403" customFormat="1" ht="11.25" customHeight="1">
      <c r="A140" s="346"/>
      <c r="B140" s="347" t="s">
        <v>237</v>
      </c>
      <c r="C140" s="348"/>
      <c r="D140" s="291"/>
      <c r="E140" s="177">
        <f>'[2]2011 tulud'!$E134/15.6466</f>
        <v>0</v>
      </c>
      <c r="F140" s="178">
        <f>'[2]2011 tulud'!F134/15.6466</f>
        <v>312330.66608720104</v>
      </c>
      <c r="G140" s="179">
        <f>'[2]2011 tulud'!G134/15.6466</f>
        <v>0</v>
      </c>
      <c r="H140" s="179">
        <f>'[2]2011 tulud'!H134/15.6466</f>
        <v>349596.71749773115</v>
      </c>
      <c r="I140" s="180">
        <f>'[2]2011 tulud'!I134/15.6466</f>
        <v>0</v>
      </c>
      <c r="J140" s="279">
        <f t="shared" si="36"/>
        <v>575105</v>
      </c>
      <c r="K140" s="292">
        <v>575105</v>
      </c>
      <c r="L140" s="361"/>
      <c r="M140" s="361"/>
      <c r="N140" s="283">
        <f>I140+J140</f>
        <v>575105</v>
      </c>
      <c r="O140" s="284">
        <f>P140+Q140+R140</f>
        <v>94969</v>
      </c>
      <c r="P140" s="292">
        <v>94969</v>
      </c>
      <c r="Q140" s="361"/>
      <c r="R140" s="361"/>
      <c r="S140" s="350">
        <f>N140+O140</f>
        <v>670074</v>
      </c>
      <c r="T140" s="295"/>
      <c r="U140" s="292"/>
      <c r="V140" s="164">
        <f>S140+T140</f>
        <v>670074</v>
      </c>
      <c r="W140" s="187">
        <f>N140-G140</f>
        <v>575105</v>
      </c>
      <c r="X140" s="188"/>
      <c r="Y140" s="109"/>
      <c r="Z140" s="200"/>
      <c r="AA140" s="200"/>
      <c r="AB140" s="200"/>
      <c r="AC140" s="298"/>
      <c r="AD140" s="111"/>
      <c r="AE140" s="324"/>
      <c r="AF140" s="324"/>
      <c r="AG140" s="397"/>
      <c r="AH140" s="397"/>
      <c r="AI140" s="397"/>
      <c r="AJ140" s="397"/>
      <c r="IV140" s="397"/>
    </row>
    <row r="141" spans="1:256" s="403" customFormat="1" ht="11.25" customHeight="1" hidden="1">
      <c r="A141" s="346"/>
      <c r="B141" s="347" t="s">
        <v>238</v>
      </c>
      <c r="C141" s="348"/>
      <c r="D141" s="291"/>
      <c r="E141" s="177">
        <f>'[2]2011 tulud'!$E135/15.6466</f>
        <v>0</v>
      </c>
      <c r="F141" s="178">
        <f>'[2]2011 tulud'!F135/15.6466</f>
        <v>0</v>
      </c>
      <c r="G141" s="179">
        <f>'[2]2011 tulud'!G135/15.6466</f>
        <v>0</v>
      </c>
      <c r="H141" s="179">
        <f>'[2]2011 tulud'!H135/15.6466</f>
        <v>0</v>
      </c>
      <c r="I141" s="180">
        <f>'[2]2011 tulud'!I135/15.6466</f>
        <v>0</v>
      </c>
      <c r="J141" s="279">
        <f t="shared" si="36"/>
        <v>0</v>
      </c>
      <c r="K141" s="292"/>
      <c r="L141" s="361"/>
      <c r="M141" s="361"/>
      <c r="N141" s="283">
        <f>I141+J141</f>
        <v>0</v>
      </c>
      <c r="O141" s="349"/>
      <c r="P141" s="292"/>
      <c r="Q141" s="361"/>
      <c r="R141" s="361"/>
      <c r="S141" s="165">
        <f>N141+O141</f>
        <v>0</v>
      </c>
      <c r="T141" s="295"/>
      <c r="U141" s="292"/>
      <c r="V141" s="292"/>
      <c r="W141" s="187">
        <f>N141-G141</f>
        <v>0</v>
      </c>
      <c r="X141" s="188" t="e">
        <f>G141/E141*100</f>
        <v>#DIV/0!</v>
      </c>
      <c r="Y141" s="109"/>
      <c r="Z141" s="200"/>
      <c r="AA141" s="200"/>
      <c r="AB141" s="200"/>
      <c r="AC141" s="298"/>
      <c r="AD141" s="111"/>
      <c r="AE141" s="324"/>
      <c r="AF141" s="324"/>
      <c r="AG141" s="397"/>
      <c r="AH141" s="397"/>
      <c r="AI141" s="397"/>
      <c r="AJ141" s="397"/>
      <c r="IV141" s="397"/>
    </row>
    <row r="142" spans="1:256" s="403" customFormat="1" ht="11.25" customHeight="1">
      <c r="A142" s="346"/>
      <c r="B142" s="347" t="s">
        <v>239</v>
      </c>
      <c r="C142" s="348"/>
      <c r="D142" s="408"/>
      <c r="E142" s="177">
        <f>'[2]2011 tulud'!$E137/15.6466</f>
        <v>0</v>
      </c>
      <c r="F142" s="178">
        <f>'[2]2011 tulud'!F137/15.6466</f>
        <v>32910.6642976749</v>
      </c>
      <c r="G142" s="179">
        <f>'[2]2011 tulud'!G137/15.6466</f>
        <v>0</v>
      </c>
      <c r="H142" s="179">
        <f>'[2]2011 tulud'!H137/15.6466</f>
        <v>55435.04659159179</v>
      </c>
      <c r="I142" s="180">
        <f>'[2]2011 tulud'!I137/15.6466</f>
        <v>0</v>
      </c>
      <c r="J142" s="279">
        <f t="shared" si="36"/>
        <v>63566</v>
      </c>
      <c r="K142" s="292">
        <v>63566</v>
      </c>
      <c r="L142" s="361"/>
      <c r="M142" s="361"/>
      <c r="N142" s="283">
        <f t="shared" si="30"/>
        <v>63566</v>
      </c>
      <c r="O142" s="349"/>
      <c r="P142" s="292"/>
      <c r="Q142" s="361"/>
      <c r="R142" s="361"/>
      <c r="S142" s="165">
        <f t="shared" si="37"/>
        <v>63566</v>
      </c>
      <c r="T142" s="295"/>
      <c r="U142" s="292"/>
      <c r="V142" s="164">
        <f aca="true" t="shared" si="38" ref="V142:V147">S142+T142</f>
        <v>63566</v>
      </c>
      <c r="W142" s="187">
        <f t="shared" si="31"/>
        <v>63566</v>
      </c>
      <c r="X142" s="188"/>
      <c r="Y142" s="109"/>
      <c r="Z142" s="200"/>
      <c r="AA142" s="200"/>
      <c r="AB142" s="200"/>
      <c r="AC142" s="298"/>
      <c r="AD142" s="111"/>
      <c r="AE142" s="324"/>
      <c r="AF142" s="324"/>
      <c r="AG142" s="397"/>
      <c r="AH142" s="397"/>
      <c r="AI142" s="397"/>
      <c r="AJ142" s="397"/>
      <c r="IV142" s="397"/>
    </row>
    <row r="143" spans="1:256" s="10" customFormat="1" ht="11.25" customHeight="1">
      <c r="A143" s="192"/>
      <c r="B143" s="193" t="s">
        <v>240</v>
      </c>
      <c r="C143" s="194"/>
      <c r="D143" s="195"/>
      <c r="E143" s="177">
        <f>'[2]2011 tulud'!$E138/15.6466</f>
        <v>0</v>
      </c>
      <c r="F143" s="178">
        <f>'[2]2011 tulud'!F138/15.6466</f>
        <v>0</v>
      </c>
      <c r="G143" s="179">
        <f>'[2]2011 tulud'!G138/15.6466</f>
        <v>0</v>
      </c>
      <c r="H143" s="179">
        <f>'[2]2011 tulud'!H138/15.6466</f>
        <v>0</v>
      </c>
      <c r="I143" s="180">
        <f>'[2]2011 tulud'!I138/15.6466</f>
        <v>0</v>
      </c>
      <c r="J143" s="279">
        <f t="shared" si="36"/>
        <v>617</v>
      </c>
      <c r="K143" s="164">
        <v>617</v>
      </c>
      <c r="L143" s="225"/>
      <c r="M143" s="225"/>
      <c r="N143" s="283">
        <f t="shared" si="30"/>
        <v>617</v>
      </c>
      <c r="O143" s="222"/>
      <c r="P143" s="164"/>
      <c r="Q143" s="225"/>
      <c r="R143" s="225"/>
      <c r="S143" s="165">
        <f t="shared" si="37"/>
        <v>617</v>
      </c>
      <c r="T143" s="224"/>
      <c r="U143" s="164"/>
      <c r="V143" s="164">
        <f t="shared" si="38"/>
        <v>617</v>
      </c>
      <c r="W143" s="187">
        <f t="shared" si="31"/>
        <v>617</v>
      </c>
      <c r="X143" s="188"/>
      <c r="Y143" s="109"/>
      <c r="Z143" s="200"/>
      <c r="AA143" s="200"/>
      <c r="AB143" s="200"/>
      <c r="AC143" s="7"/>
      <c r="AD143" s="111"/>
      <c r="AE143" s="88"/>
      <c r="AF143" s="88"/>
      <c r="AG143" s="9"/>
      <c r="AH143" s="9"/>
      <c r="AI143" s="9"/>
      <c r="AJ143" s="9"/>
      <c r="IV143" s="9"/>
    </row>
    <row r="144" spans="1:256" s="10" customFormat="1" ht="11.25" customHeight="1">
      <c r="A144" s="192" t="s">
        <v>241</v>
      </c>
      <c r="B144" s="193" t="s">
        <v>242</v>
      </c>
      <c r="C144" s="194"/>
      <c r="D144" s="195"/>
      <c r="E144" s="177"/>
      <c r="F144" s="178"/>
      <c r="G144" s="179"/>
      <c r="H144" s="179"/>
      <c r="I144" s="180"/>
      <c r="J144" s="279"/>
      <c r="K144" s="164"/>
      <c r="L144" s="225"/>
      <c r="M144" s="225"/>
      <c r="N144" s="283"/>
      <c r="O144" s="284">
        <f>P144+Q144+R144</f>
        <v>548</v>
      </c>
      <c r="P144" s="164">
        <v>0</v>
      </c>
      <c r="Q144" s="225"/>
      <c r="R144" s="341">
        <v>548</v>
      </c>
      <c r="S144" s="165">
        <f t="shared" si="37"/>
        <v>548</v>
      </c>
      <c r="T144" s="224"/>
      <c r="U144" s="164"/>
      <c r="V144" s="164"/>
      <c r="W144" s="187"/>
      <c r="X144" s="188"/>
      <c r="Y144" s="109"/>
      <c r="Z144" s="200"/>
      <c r="AA144" s="200"/>
      <c r="AB144" s="200"/>
      <c r="AC144" s="7"/>
      <c r="AD144" s="111"/>
      <c r="AE144" s="88"/>
      <c r="AF144" s="88"/>
      <c r="AG144" s="9"/>
      <c r="AH144" s="9"/>
      <c r="AI144" s="9"/>
      <c r="AJ144" s="9"/>
      <c r="IV144" s="9"/>
    </row>
    <row r="145" spans="1:256" s="10" customFormat="1" ht="11.25" customHeight="1">
      <c r="A145" s="192" t="s">
        <v>221</v>
      </c>
      <c r="B145" s="193" t="s">
        <v>243</v>
      </c>
      <c r="C145" s="194"/>
      <c r="D145" s="195"/>
      <c r="E145" s="177">
        <f>'[2]2011 tulud'!$E139/15.6466</f>
        <v>0</v>
      </c>
      <c r="F145" s="178">
        <f>'[2]2011 tulud'!F139/15.6466</f>
        <v>0</v>
      </c>
      <c r="G145" s="179">
        <f>'[2]2011 tulud'!G139/15.6466</f>
        <v>0</v>
      </c>
      <c r="H145" s="179">
        <f>'[2]2011 tulud'!H139/15.6466</f>
        <v>0</v>
      </c>
      <c r="I145" s="180">
        <f>'[2]2011 tulud'!I139/15.6466</f>
        <v>0</v>
      </c>
      <c r="J145" s="279">
        <f t="shared" si="36"/>
        <v>1920</v>
      </c>
      <c r="K145" s="201">
        <v>1920</v>
      </c>
      <c r="L145" s="225"/>
      <c r="M145" s="225"/>
      <c r="N145" s="283">
        <f t="shared" si="30"/>
        <v>1920</v>
      </c>
      <c r="O145" s="222"/>
      <c r="P145" s="201">
        <v>0</v>
      </c>
      <c r="Q145" s="225"/>
      <c r="R145" s="225"/>
      <c r="S145" s="165">
        <f t="shared" si="37"/>
        <v>1920</v>
      </c>
      <c r="T145" s="224"/>
      <c r="U145" s="164"/>
      <c r="V145" s="164">
        <f t="shared" si="38"/>
        <v>1920</v>
      </c>
      <c r="W145" s="187">
        <f t="shared" si="31"/>
        <v>1920</v>
      </c>
      <c r="X145" s="188"/>
      <c r="Y145" s="109"/>
      <c r="Z145" s="200"/>
      <c r="AA145" s="200"/>
      <c r="AB145" s="200"/>
      <c r="AC145" s="7"/>
      <c r="AD145" s="111"/>
      <c r="AE145" s="88"/>
      <c r="AF145" s="88"/>
      <c r="AG145" s="9"/>
      <c r="AH145" s="9"/>
      <c r="AI145" s="9"/>
      <c r="AJ145" s="9"/>
      <c r="IV145" s="9"/>
    </row>
    <row r="146" spans="1:256" s="10" customFormat="1" ht="11.25" customHeight="1" hidden="1">
      <c r="A146" s="192" t="s">
        <v>244</v>
      </c>
      <c r="B146" s="193" t="s">
        <v>193</v>
      </c>
      <c r="C146" s="194"/>
      <c r="D146" s="195"/>
      <c r="E146" s="177">
        <f>'[2]2011 tulud'!$E140/15.6466</f>
        <v>0</v>
      </c>
      <c r="F146" s="178">
        <f>'[2]2011 tulud'!F140/15.6466</f>
        <v>0</v>
      </c>
      <c r="G146" s="179">
        <f>'[2]2011 tulud'!G140/15.6466</f>
        <v>0</v>
      </c>
      <c r="H146" s="179">
        <f>'[2]2011 tulud'!H140/15.6466</f>
        <v>0</v>
      </c>
      <c r="I146" s="180">
        <f>'[2]2011 tulud'!I140/15.6466</f>
        <v>0</v>
      </c>
      <c r="J146" s="279"/>
      <c r="K146" s="164"/>
      <c r="L146" s="225"/>
      <c r="M146" s="225"/>
      <c r="N146" s="283">
        <f t="shared" si="30"/>
        <v>0</v>
      </c>
      <c r="O146" s="222"/>
      <c r="P146" s="164"/>
      <c r="Q146" s="225"/>
      <c r="R146" s="225"/>
      <c r="S146" s="165">
        <f t="shared" si="37"/>
        <v>0</v>
      </c>
      <c r="T146" s="224"/>
      <c r="U146" s="164"/>
      <c r="V146" s="164">
        <f t="shared" si="38"/>
        <v>0</v>
      </c>
      <c r="W146" s="187">
        <f t="shared" si="31"/>
        <v>0</v>
      </c>
      <c r="X146" s="188"/>
      <c r="Y146" s="109"/>
      <c r="Z146" s="200"/>
      <c r="AA146" s="200"/>
      <c r="AB146" s="200"/>
      <c r="AC146" s="7"/>
      <c r="AD146" s="111"/>
      <c r="AE146" s="88"/>
      <c r="AF146" s="88"/>
      <c r="AG146" s="9"/>
      <c r="AH146" s="9"/>
      <c r="AI146" s="9"/>
      <c r="AJ146" s="9"/>
      <c r="IV146" s="9"/>
    </row>
    <row r="147" spans="1:256" s="10" customFormat="1" ht="11.25" customHeight="1">
      <c r="A147" s="192" t="s">
        <v>245</v>
      </c>
      <c r="B147" s="193" t="s">
        <v>246</v>
      </c>
      <c r="C147" s="194"/>
      <c r="D147" s="195"/>
      <c r="E147" s="177">
        <f>'[2]2011 tulud'!$E141/15.6466</f>
        <v>0</v>
      </c>
      <c r="F147" s="178">
        <f>'[2]2011 tulud'!F141/15.6466</f>
        <v>136.8987511663876</v>
      </c>
      <c r="G147" s="179">
        <f>'[2]2011 tulud'!G141/15.6466</f>
        <v>0</v>
      </c>
      <c r="H147" s="179">
        <f>'[2]2011 tulud'!H141/15.6466</f>
        <v>0</v>
      </c>
      <c r="I147" s="180">
        <f>'[2]2011 tulud'!I141/15.6466</f>
        <v>0</v>
      </c>
      <c r="J147" s="279"/>
      <c r="K147" s="164"/>
      <c r="L147" s="225"/>
      <c r="M147" s="225"/>
      <c r="N147" s="283">
        <f t="shared" si="30"/>
        <v>0</v>
      </c>
      <c r="O147" s="284">
        <f>P147+Q147+R147</f>
        <v>27998</v>
      </c>
      <c r="P147" s="164"/>
      <c r="Q147" s="225">
        <f>23000+4998</f>
        <v>27998</v>
      </c>
      <c r="R147" s="225"/>
      <c r="S147" s="165">
        <f t="shared" si="37"/>
        <v>27998</v>
      </c>
      <c r="T147" s="224"/>
      <c r="U147" s="164"/>
      <c r="V147" s="164">
        <f t="shared" si="38"/>
        <v>27998</v>
      </c>
      <c r="W147" s="187">
        <f t="shared" si="31"/>
        <v>0</v>
      </c>
      <c r="X147" s="188"/>
      <c r="Y147" s="380"/>
      <c r="Z147" s="200"/>
      <c r="AA147" s="200"/>
      <c r="AB147" s="200"/>
      <c r="AC147" s="7"/>
      <c r="AD147" s="111"/>
      <c r="AE147" s="88"/>
      <c r="AF147" s="88"/>
      <c r="AG147" s="9"/>
      <c r="AH147" s="9"/>
      <c r="AI147" s="9"/>
      <c r="AJ147" s="9"/>
      <c r="IV147" s="9"/>
    </row>
    <row r="148" spans="1:256" s="358" customFormat="1" ht="12.75">
      <c r="A148" s="351" t="s">
        <v>247</v>
      </c>
      <c r="B148" s="253" t="s">
        <v>248</v>
      </c>
      <c r="C148" s="254">
        <v>701000</v>
      </c>
      <c r="D148" s="255">
        <v>751500</v>
      </c>
      <c r="E148" s="256">
        <f>'[2]2011 tulud'!$E142/15.6466</f>
        <v>70430.63668784274</v>
      </c>
      <c r="F148" s="257">
        <f>'[2]2011 tulud'!F142/15.6466</f>
        <v>557811.9847123337</v>
      </c>
      <c r="G148" s="258">
        <f>'[2]2011 tulud'!G142/15.6466</f>
        <v>60716.06611020925</v>
      </c>
      <c r="H148" s="258">
        <f>'[2]2011 tulud'!H142/15.6466</f>
        <v>317938.0184832488</v>
      </c>
      <c r="I148" s="259">
        <f>'[2]2011 tulud'!I142/15.6466</f>
        <v>66576.76428105787</v>
      </c>
      <c r="J148" s="409">
        <f>J149+J166+J181</f>
        <v>0</v>
      </c>
      <c r="K148" s="353">
        <f>K149+K166+K181</f>
        <v>0</v>
      </c>
      <c r="L148" s="264"/>
      <c r="M148" s="410"/>
      <c r="N148" s="263">
        <f t="shared" si="30"/>
        <v>66576.76428105787</v>
      </c>
      <c r="O148" s="411">
        <f aca="true" t="shared" si="39" ref="O148:V148">O149+O166+O181</f>
        <v>33896</v>
      </c>
      <c r="P148" s="264">
        <f>P149+P166+P181</f>
        <v>0</v>
      </c>
      <c r="Q148" s="264">
        <f>Q149+Q166+Q181</f>
        <v>33896</v>
      </c>
      <c r="R148" s="264"/>
      <c r="S148" s="412">
        <f t="shared" si="39"/>
        <v>100472.76428105787</v>
      </c>
      <c r="T148" s="413">
        <f t="shared" si="39"/>
        <v>0</v>
      </c>
      <c r="U148" s="414">
        <f t="shared" si="39"/>
        <v>0</v>
      </c>
      <c r="V148" s="415">
        <f t="shared" si="39"/>
        <v>75772.76428105787</v>
      </c>
      <c r="W148" s="416">
        <f t="shared" si="31"/>
        <v>5860.69817084862</v>
      </c>
      <c r="X148" s="251">
        <f>G148/E148*100</f>
        <v>86.20689655172413</v>
      </c>
      <c r="Y148" s="109"/>
      <c r="Z148" s="200"/>
      <c r="AA148" s="200"/>
      <c r="AB148" s="200"/>
      <c r="AC148" s="131"/>
      <c r="AD148" s="111"/>
      <c r="AE148" s="226"/>
      <c r="AF148" s="226"/>
      <c r="AG148" s="269"/>
      <c r="AH148" s="269"/>
      <c r="AI148" s="269"/>
      <c r="AJ148" s="269"/>
      <c r="IV148" s="269"/>
    </row>
    <row r="149" spans="1:256" s="191" customFormat="1" ht="10.5" customHeight="1">
      <c r="A149" s="227" t="s">
        <v>249</v>
      </c>
      <c r="B149" s="281" t="s">
        <v>250</v>
      </c>
      <c r="C149" s="229">
        <v>400000</v>
      </c>
      <c r="D149" s="230">
        <v>400000</v>
      </c>
      <c r="E149" s="177">
        <f>'[2]2011 tulud'!$E143/15.6466</f>
        <v>31955.824268531185</v>
      </c>
      <c r="F149" s="178">
        <f>'[2]2011 tulud'!F143/15.6466</f>
        <v>75028.440683599</v>
      </c>
      <c r="G149" s="179">
        <f>'[2]2011 tulud'!G143/15.6466</f>
        <v>25564.659414824946</v>
      </c>
      <c r="H149" s="179">
        <f>'[2]2011 tulud'!H143/15.6466</f>
        <v>159779.1213426559</v>
      </c>
      <c r="I149" s="180">
        <f>'[2]2011 tulud'!I143/15.6466</f>
        <v>26842.892385566196</v>
      </c>
      <c r="J149" s="279">
        <f>K149+L149+M149</f>
        <v>0</v>
      </c>
      <c r="K149" s="185">
        <f>SUM(K150:K156)</f>
        <v>0</v>
      </c>
      <c r="L149" s="185"/>
      <c r="M149" s="359"/>
      <c r="N149" s="283">
        <f t="shared" si="30"/>
        <v>26842.892385566196</v>
      </c>
      <c r="O149" s="360">
        <f aca="true" t="shared" si="40" ref="O149:V149">SUM(O150:O156)</f>
        <v>1500</v>
      </c>
      <c r="P149" s="185">
        <f>SUM(P150:P156)</f>
        <v>0</v>
      </c>
      <c r="Q149" s="185">
        <f>SUM(Q150:Q156)</f>
        <v>1500</v>
      </c>
      <c r="R149" s="359"/>
      <c r="S149" s="343">
        <f t="shared" si="40"/>
        <v>28342.892385566196</v>
      </c>
      <c r="T149" s="344">
        <f t="shared" si="40"/>
        <v>0</v>
      </c>
      <c r="U149" s="185">
        <f t="shared" si="40"/>
        <v>0</v>
      </c>
      <c r="V149" s="185">
        <f t="shared" si="40"/>
        <v>28342.892385566196</v>
      </c>
      <c r="W149" s="187">
        <f t="shared" si="31"/>
        <v>1278.23297074125</v>
      </c>
      <c r="X149" s="188">
        <f>G149/E149*100</f>
        <v>80</v>
      </c>
      <c r="Z149" s="200"/>
      <c r="AA149" s="200"/>
      <c r="AB149" s="200"/>
      <c r="AC149" s="148"/>
      <c r="AD149" s="111"/>
      <c r="AE149" s="148"/>
      <c r="AF149" s="190"/>
      <c r="AG149" s="29"/>
      <c r="AH149" s="29"/>
      <c r="AI149" s="29"/>
      <c r="AJ149" s="29"/>
      <c r="IV149" s="190"/>
    </row>
    <row r="150" spans="1:32" s="29" customFormat="1" ht="12.75" customHeight="1" hidden="1">
      <c r="A150" s="192" t="s">
        <v>251</v>
      </c>
      <c r="B150" s="193" t="s">
        <v>252</v>
      </c>
      <c r="C150" s="194"/>
      <c r="D150" s="195"/>
      <c r="E150" s="177">
        <f>'[2]2011 tulud'!$E144/15.6466</f>
        <v>0</v>
      </c>
      <c r="F150" s="178">
        <f>'[2]2011 tulud'!F144/15.6466</f>
        <v>0</v>
      </c>
      <c r="G150" s="179">
        <f>'[2]2011 tulud'!G144/15.6466</f>
        <v>0</v>
      </c>
      <c r="H150" s="179">
        <f>'[2]2011 tulud'!H144/15.6466</f>
        <v>0</v>
      </c>
      <c r="I150" s="180">
        <f>'[2]2011 tulud'!I144/15.6466</f>
        <v>0</v>
      </c>
      <c r="J150" s="279"/>
      <c r="K150" s="164"/>
      <c r="L150" s="225"/>
      <c r="M150" s="225"/>
      <c r="N150" s="283">
        <f t="shared" si="30"/>
        <v>0</v>
      </c>
      <c r="O150" s="222"/>
      <c r="P150" s="164"/>
      <c r="Q150" s="225"/>
      <c r="R150" s="225"/>
      <c r="S150" s="165">
        <f aca="true" t="shared" si="41" ref="S150:S156">N150+O150</f>
        <v>0</v>
      </c>
      <c r="T150" s="224"/>
      <c r="U150" s="164"/>
      <c r="V150" s="164">
        <f aca="true" t="shared" si="42" ref="V150:V156">S150+T150</f>
        <v>0</v>
      </c>
      <c r="W150" s="187">
        <f t="shared" si="31"/>
        <v>0</v>
      </c>
      <c r="X150" s="188"/>
      <c r="Y150" s="109"/>
      <c r="Z150" s="200"/>
      <c r="AA150" s="200"/>
      <c r="AB150" s="200"/>
      <c r="AC150" s="7"/>
      <c r="AD150" s="111"/>
      <c r="AE150" s="190"/>
      <c r="AF150" s="190"/>
    </row>
    <row r="151" spans="1:32" s="29" customFormat="1" ht="12.75">
      <c r="A151" s="192" t="s">
        <v>253</v>
      </c>
      <c r="B151" s="193" t="s">
        <v>254</v>
      </c>
      <c r="C151" s="194"/>
      <c r="D151" s="195"/>
      <c r="E151" s="177">
        <f>'[2]2011 tulud'!$E145/15.6466</f>
        <v>0</v>
      </c>
      <c r="F151" s="178">
        <f>'[2]2011 tulud'!F145/15.6466</f>
        <v>43072.61641506781</v>
      </c>
      <c r="G151" s="179">
        <f>'[2]2011 tulud'!G145/15.6466</f>
        <v>0</v>
      </c>
      <c r="H151" s="179">
        <f>'[2]2011 tulud'!H145/15.6466</f>
        <v>134214.46192783097</v>
      </c>
      <c r="I151" s="180">
        <f>'[2]2011 tulud'!I145/15.6466</f>
        <v>0</v>
      </c>
      <c r="J151" s="279">
        <f>K151+L151+M151</f>
        <v>0</v>
      </c>
      <c r="K151" s="164"/>
      <c r="L151" s="225"/>
      <c r="M151" s="225"/>
      <c r="N151" s="283">
        <f t="shared" si="30"/>
        <v>0</v>
      </c>
      <c r="O151" s="222"/>
      <c r="P151" s="164"/>
      <c r="Q151" s="225"/>
      <c r="R151" s="225"/>
      <c r="S151" s="165">
        <f t="shared" si="41"/>
        <v>0</v>
      </c>
      <c r="T151" s="224"/>
      <c r="U151" s="164"/>
      <c r="V151" s="164">
        <f t="shared" si="42"/>
        <v>0</v>
      </c>
      <c r="W151" s="187">
        <f t="shared" si="31"/>
        <v>0</v>
      </c>
      <c r="X151" s="188"/>
      <c r="Y151" s="109"/>
      <c r="Z151" s="200"/>
      <c r="AA151" s="200"/>
      <c r="AB151" s="200"/>
      <c r="AC151" s="7"/>
      <c r="AD151" s="111"/>
      <c r="AE151" s="190"/>
      <c r="AF151" s="190"/>
    </row>
    <row r="152" spans="1:32" s="29" customFormat="1" ht="12.75" hidden="1">
      <c r="A152" s="192" t="s">
        <v>255</v>
      </c>
      <c r="B152" s="193" t="s">
        <v>256</v>
      </c>
      <c r="C152" s="194"/>
      <c r="D152" s="195"/>
      <c r="E152" s="177">
        <f>'[2]2011 tulud'!$E146/15.6466</f>
        <v>0</v>
      </c>
      <c r="F152" s="178">
        <f>'[2]2011 tulud'!F146/15.6466</f>
        <v>0</v>
      </c>
      <c r="G152" s="179">
        <f>'[2]2011 tulud'!G146/15.6466</f>
        <v>0</v>
      </c>
      <c r="H152" s="179">
        <f>'[2]2011 tulud'!H146/15.6466</f>
        <v>0</v>
      </c>
      <c r="I152" s="180">
        <f>'[2]2011 tulud'!I146/15.6466</f>
        <v>0</v>
      </c>
      <c r="J152" s="279"/>
      <c r="K152" s="164"/>
      <c r="L152" s="225"/>
      <c r="M152" s="225"/>
      <c r="N152" s="283">
        <f t="shared" si="30"/>
        <v>0</v>
      </c>
      <c r="O152" s="222"/>
      <c r="P152" s="164"/>
      <c r="Q152" s="225"/>
      <c r="R152" s="225"/>
      <c r="S152" s="165">
        <f t="shared" si="41"/>
        <v>0</v>
      </c>
      <c r="T152" s="224"/>
      <c r="U152" s="164"/>
      <c r="V152" s="164">
        <f t="shared" si="42"/>
        <v>0</v>
      </c>
      <c r="W152" s="187">
        <f t="shared" si="31"/>
        <v>0</v>
      </c>
      <c r="X152" s="188" t="e">
        <f aca="true" t="shared" si="43" ref="X152:X165">G152/E152*100</f>
        <v>#DIV/0!</v>
      </c>
      <c r="Y152" s="109"/>
      <c r="Z152" s="200"/>
      <c r="AA152" s="200"/>
      <c r="AB152" s="200"/>
      <c r="AC152" s="7"/>
      <c r="AD152" s="111"/>
      <c r="AE152" s="190"/>
      <c r="AF152" s="190"/>
    </row>
    <row r="153" spans="1:255" ht="12.75" hidden="1">
      <c r="A153" s="192" t="s">
        <v>257</v>
      </c>
      <c r="B153" s="193" t="s">
        <v>258</v>
      </c>
      <c r="C153" s="194"/>
      <c r="D153" s="195"/>
      <c r="E153" s="177">
        <f>'[2]2011 tulud'!$E147/15.6466</f>
        <v>0</v>
      </c>
      <c r="F153" s="178">
        <f>'[2]2011 tulud'!F147/15.6466</f>
        <v>0</v>
      </c>
      <c r="G153" s="179">
        <f>'[2]2011 tulud'!G147/15.6466</f>
        <v>0</v>
      </c>
      <c r="H153" s="179">
        <f>'[2]2011 tulud'!H147/15.6466</f>
        <v>0</v>
      </c>
      <c r="I153" s="180">
        <f>'[2]2011 tulud'!I147/15.6466</f>
        <v>0</v>
      </c>
      <c r="J153" s="279"/>
      <c r="K153" s="164"/>
      <c r="L153" s="225"/>
      <c r="M153" s="225"/>
      <c r="N153" s="283">
        <f t="shared" si="30"/>
        <v>0</v>
      </c>
      <c r="O153" s="222"/>
      <c r="P153" s="164"/>
      <c r="Q153" s="225"/>
      <c r="R153" s="225"/>
      <c r="S153" s="165">
        <f t="shared" si="41"/>
        <v>0</v>
      </c>
      <c r="T153" s="224"/>
      <c r="U153" s="164"/>
      <c r="V153" s="164">
        <f t="shared" si="42"/>
        <v>0</v>
      </c>
      <c r="W153" s="187">
        <f t="shared" si="31"/>
        <v>0</v>
      </c>
      <c r="X153" s="188" t="e">
        <f t="shared" si="43"/>
        <v>#DIV/0!</v>
      </c>
      <c r="Y153" s="109"/>
      <c r="Z153" s="200"/>
      <c r="AA153" s="200"/>
      <c r="AB153" s="200"/>
      <c r="AC153" s="7"/>
      <c r="AD153" s="111"/>
      <c r="AE153" s="88"/>
      <c r="AF153" s="88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</row>
    <row r="154" spans="1:256" s="149" customFormat="1" ht="12.75" hidden="1">
      <c r="A154" s="192" t="s">
        <v>259</v>
      </c>
      <c r="B154" s="193" t="s">
        <v>260</v>
      </c>
      <c r="C154" s="194"/>
      <c r="D154" s="195"/>
      <c r="E154" s="177">
        <f>'[2]2011 tulud'!$E148/15.6466</f>
        <v>0</v>
      </c>
      <c r="F154" s="178">
        <f>'[2]2011 tulud'!F148/15.6466</f>
        <v>0</v>
      </c>
      <c r="G154" s="179">
        <f>'[2]2011 tulud'!G148/15.6466</f>
        <v>0</v>
      </c>
      <c r="H154" s="179">
        <f>'[2]2011 tulud'!H148/15.6466</f>
        <v>0</v>
      </c>
      <c r="I154" s="180">
        <f>'[2]2011 tulud'!I148/15.6466</f>
        <v>0</v>
      </c>
      <c r="J154" s="279"/>
      <c r="K154" s="164"/>
      <c r="L154" s="225"/>
      <c r="M154" s="225"/>
      <c r="N154" s="283">
        <f t="shared" si="30"/>
        <v>0</v>
      </c>
      <c r="O154" s="222"/>
      <c r="P154" s="164"/>
      <c r="Q154" s="225"/>
      <c r="R154" s="225"/>
      <c r="S154" s="165">
        <f t="shared" si="41"/>
        <v>0</v>
      </c>
      <c r="T154" s="224"/>
      <c r="U154" s="164"/>
      <c r="V154" s="164">
        <f t="shared" si="42"/>
        <v>0</v>
      </c>
      <c r="W154" s="187">
        <f t="shared" si="31"/>
        <v>0</v>
      </c>
      <c r="X154" s="188" t="e">
        <f t="shared" si="43"/>
        <v>#DIV/0!</v>
      </c>
      <c r="Y154" s="109"/>
      <c r="Z154" s="200"/>
      <c r="AA154" s="200"/>
      <c r="AB154" s="200"/>
      <c r="AC154" s="7"/>
      <c r="AD154" s="111"/>
      <c r="AE154" s="88"/>
      <c r="AF154" s="88"/>
      <c r="AG154" s="9"/>
      <c r="AH154" s="9"/>
      <c r="AI154" s="9"/>
      <c r="AJ154" s="9"/>
      <c r="IV154" s="88"/>
    </row>
    <row r="155" spans="1:32" s="269" customFormat="1" ht="12.75" hidden="1">
      <c r="A155" s="192" t="s">
        <v>261</v>
      </c>
      <c r="B155" s="193" t="s">
        <v>262</v>
      </c>
      <c r="C155" s="194"/>
      <c r="D155" s="195"/>
      <c r="E155" s="177">
        <f>'[2]2011 tulud'!$E149/15.6466</f>
        <v>0</v>
      </c>
      <c r="F155" s="178">
        <f>'[2]2011 tulud'!F149/15.6466</f>
        <v>0</v>
      </c>
      <c r="G155" s="179">
        <f>'[2]2011 tulud'!G149/15.6466</f>
        <v>0</v>
      </c>
      <c r="H155" s="179">
        <f>'[2]2011 tulud'!H149/15.6466</f>
        <v>0</v>
      </c>
      <c r="I155" s="180">
        <f>'[2]2011 tulud'!I149/15.6466</f>
        <v>0</v>
      </c>
      <c r="J155" s="279"/>
      <c r="K155" s="164"/>
      <c r="L155" s="225"/>
      <c r="M155" s="225"/>
      <c r="N155" s="283">
        <f t="shared" si="30"/>
        <v>0</v>
      </c>
      <c r="O155" s="222"/>
      <c r="P155" s="164"/>
      <c r="Q155" s="225"/>
      <c r="R155" s="225"/>
      <c r="S155" s="165">
        <f t="shared" si="41"/>
        <v>0</v>
      </c>
      <c r="T155" s="224"/>
      <c r="U155" s="164"/>
      <c r="V155" s="164">
        <f t="shared" si="42"/>
        <v>0</v>
      </c>
      <c r="W155" s="187">
        <f t="shared" si="31"/>
        <v>0</v>
      </c>
      <c r="X155" s="188" t="e">
        <f t="shared" si="43"/>
        <v>#DIV/0!</v>
      </c>
      <c r="Y155" s="109"/>
      <c r="Z155" s="200"/>
      <c r="AA155" s="200"/>
      <c r="AB155" s="200"/>
      <c r="AC155" s="7"/>
      <c r="AD155" s="111"/>
      <c r="AE155" s="226"/>
      <c r="AF155" s="226"/>
    </row>
    <row r="156" spans="1:256" s="191" customFormat="1" ht="12.75">
      <c r="A156" s="417" t="s">
        <v>263</v>
      </c>
      <c r="B156" s="193" t="s">
        <v>264</v>
      </c>
      <c r="C156" s="194">
        <v>400000</v>
      </c>
      <c r="D156" s="195">
        <v>400000</v>
      </c>
      <c r="E156" s="177">
        <f>'[2]2011 tulud'!$E150/15.6466</f>
        <v>31955.824268531185</v>
      </c>
      <c r="F156" s="178">
        <f>'[2]2011 tulud'!F150/15.6466</f>
        <v>31955.824268531185</v>
      </c>
      <c r="G156" s="179">
        <f>'[2]2011 tulud'!G150/15.6466</f>
        <v>25564.659414824946</v>
      </c>
      <c r="H156" s="179">
        <f>'[2]2011 tulud'!H150/15.6466</f>
        <v>25564.659414824946</v>
      </c>
      <c r="I156" s="180">
        <f>'[2]2011 tulud'!I150/15.6466</f>
        <v>26842.892385566196</v>
      </c>
      <c r="J156" s="279"/>
      <c r="K156" s="164"/>
      <c r="L156" s="225"/>
      <c r="M156" s="225"/>
      <c r="N156" s="283">
        <f t="shared" si="30"/>
        <v>26842.892385566196</v>
      </c>
      <c r="O156" s="284">
        <f>P156+Q156+R156</f>
        <v>1500</v>
      </c>
      <c r="P156" s="164"/>
      <c r="Q156" s="225">
        <v>1500</v>
      </c>
      <c r="R156" s="225"/>
      <c r="S156" s="165">
        <f t="shared" si="41"/>
        <v>28342.892385566196</v>
      </c>
      <c r="T156" s="224"/>
      <c r="U156" s="164"/>
      <c r="V156" s="164">
        <f t="shared" si="42"/>
        <v>28342.892385566196</v>
      </c>
      <c r="W156" s="187">
        <f t="shared" si="31"/>
        <v>1278.23297074125</v>
      </c>
      <c r="X156" s="188">
        <f t="shared" si="43"/>
        <v>80</v>
      </c>
      <c r="Y156" s="109"/>
      <c r="Z156" s="200"/>
      <c r="AA156" s="200"/>
      <c r="AB156" s="200"/>
      <c r="AC156" s="7"/>
      <c r="AD156" s="111"/>
      <c r="AE156" s="190"/>
      <c r="AF156" s="190"/>
      <c r="AG156" s="29"/>
      <c r="AH156" s="29"/>
      <c r="AI156" s="29"/>
      <c r="AJ156" s="29"/>
      <c r="IV156" s="190"/>
    </row>
    <row r="157" spans="1:36" s="426" customFormat="1" ht="12.75" hidden="1">
      <c r="A157" s="418" t="s">
        <v>265</v>
      </c>
      <c r="B157" s="419" t="s">
        <v>250</v>
      </c>
      <c r="C157" s="420">
        <v>0</v>
      </c>
      <c r="D157" s="421">
        <v>0</v>
      </c>
      <c r="E157" s="177">
        <f>'[2]2011 tulud'!$E151/15.6466</f>
        <v>0</v>
      </c>
      <c r="F157" s="178">
        <f>'[2]2011 tulud'!F151/15.6466</f>
        <v>0</v>
      </c>
      <c r="G157" s="179">
        <f>'[2]2011 tulud'!G151/15.6466</f>
        <v>0</v>
      </c>
      <c r="H157" s="179">
        <f>'[2]2011 tulud'!H151/15.6466</f>
        <v>0</v>
      </c>
      <c r="I157" s="180">
        <f>'[2]2011 tulud'!I151/15.6466</f>
        <v>0</v>
      </c>
      <c r="J157" s="422">
        <f>J158+J160</f>
        <v>0</v>
      </c>
      <c r="K157" s="357">
        <f>K158+K160</f>
        <v>0</v>
      </c>
      <c r="L157" s="423"/>
      <c r="M157" s="423"/>
      <c r="N157" s="283">
        <f t="shared" si="30"/>
        <v>0</v>
      </c>
      <c r="O157" s="424">
        <f aca="true" t="shared" si="44" ref="O157:V157">O158+O160</f>
        <v>0</v>
      </c>
      <c r="P157" s="357">
        <f>P158+P160</f>
        <v>0</v>
      </c>
      <c r="Q157" s="423"/>
      <c r="R157" s="423"/>
      <c r="S157" s="425">
        <f t="shared" si="44"/>
        <v>0</v>
      </c>
      <c r="T157" s="356">
        <f t="shared" si="44"/>
        <v>0</v>
      </c>
      <c r="U157" s="357">
        <f t="shared" si="44"/>
        <v>0</v>
      </c>
      <c r="V157" s="357">
        <f t="shared" si="44"/>
        <v>0</v>
      </c>
      <c r="W157" s="187">
        <f t="shared" si="31"/>
        <v>0</v>
      </c>
      <c r="X157" s="188" t="e">
        <f t="shared" si="43"/>
        <v>#DIV/0!</v>
      </c>
      <c r="Y157" s="109"/>
      <c r="Z157" s="200"/>
      <c r="AA157" s="200"/>
      <c r="AB157" s="200"/>
      <c r="AC157" s="131"/>
      <c r="AD157" s="111"/>
      <c r="AE157" s="226"/>
      <c r="AF157" s="226"/>
      <c r="AG157" s="269"/>
      <c r="AH157" s="269"/>
      <c r="AI157" s="269"/>
      <c r="AJ157" s="269"/>
    </row>
    <row r="158" spans="1:36" s="427" customFormat="1" ht="12.75" hidden="1">
      <c r="A158" s="346" t="s">
        <v>266</v>
      </c>
      <c r="B158" s="347" t="s">
        <v>267</v>
      </c>
      <c r="C158" s="348">
        <v>0</v>
      </c>
      <c r="D158" s="291">
        <v>0</v>
      </c>
      <c r="E158" s="177">
        <f>'[2]2011 tulud'!$E152/15.6466</f>
        <v>0</v>
      </c>
      <c r="F158" s="178">
        <f>'[2]2011 tulud'!F152/15.6466</f>
        <v>0</v>
      </c>
      <c r="G158" s="179">
        <f>'[2]2011 tulud'!G152/15.6466</f>
        <v>0</v>
      </c>
      <c r="H158" s="179">
        <f>'[2]2011 tulud'!H152/15.6466</f>
        <v>0</v>
      </c>
      <c r="I158" s="180">
        <f>'[2]2011 tulud'!I152/15.6466</f>
        <v>0</v>
      </c>
      <c r="J158" s="299">
        <f>SUM(J159:J159)</f>
        <v>0</v>
      </c>
      <c r="K158" s="292">
        <f>SUM(K159:K159)</f>
        <v>0</v>
      </c>
      <c r="L158" s="361"/>
      <c r="M158" s="361"/>
      <c r="N158" s="283">
        <f t="shared" si="30"/>
        <v>0</v>
      </c>
      <c r="O158" s="349">
        <f aca="true" t="shared" si="45" ref="O158:V158">SUM(O159:O159)</f>
        <v>0</v>
      </c>
      <c r="P158" s="292">
        <f>SUM(P159:P159)</f>
        <v>0</v>
      </c>
      <c r="Q158" s="361"/>
      <c r="R158" s="361"/>
      <c r="S158" s="350">
        <f t="shared" si="45"/>
        <v>0</v>
      </c>
      <c r="T158" s="295">
        <f t="shared" si="45"/>
        <v>0</v>
      </c>
      <c r="U158" s="292">
        <f t="shared" si="45"/>
        <v>0</v>
      </c>
      <c r="V158" s="292">
        <f t="shared" si="45"/>
        <v>0</v>
      </c>
      <c r="W158" s="187">
        <f t="shared" si="31"/>
        <v>0</v>
      </c>
      <c r="X158" s="188" t="e">
        <f t="shared" si="43"/>
        <v>#DIV/0!</v>
      </c>
      <c r="Y158" s="109"/>
      <c r="Z158" s="200"/>
      <c r="AA158" s="200"/>
      <c r="AB158" s="200"/>
      <c r="AC158" s="298"/>
      <c r="AD158" s="111"/>
      <c r="AE158" s="324"/>
      <c r="AF158" s="324"/>
      <c r="AG158" s="397"/>
      <c r="AH158" s="397"/>
      <c r="AI158" s="397"/>
      <c r="AJ158" s="397"/>
    </row>
    <row r="159" spans="1:36" s="426" customFormat="1" ht="12.75" hidden="1">
      <c r="A159" s="346" t="s">
        <v>268</v>
      </c>
      <c r="B159" s="347" t="s">
        <v>269</v>
      </c>
      <c r="C159" s="348"/>
      <c r="D159" s="291"/>
      <c r="E159" s="177">
        <f>'[2]2011 tulud'!$E153/15.6466</f>
        <v>0</v>
      </c>
      <c r="F159" s="178">
        <f>'[2]2011 tulud'!F153/15.6466</f>
        <v>0</v>
      </c>
      <c r="G159" s="179">
        <f>'[2]2011 tulud'!G153/15.6466</f>
        <v>0</v>
      </c>
      <c r="H159" s="179">
        <f>'[2]2011 tulud'!H153/15.6466</f>
        <v>0</v>
      </c>
      <c r="I159" s="180">
        <f>'[2]2011 tulud'!I153/15.6466</f>
        <v>0</v>
      </c>
      <c r="J159" s="279"/>
      <c r="K159" s="164"/>
      <c r="L159" s="225"/>
      <c r="M159" s="225"/>
      <c r="N159" s="283">
        <f t="shared" si="30"/>
        <v>0</v>
      </c>
      <c r="O159" s="222"/>
      <c r="P159" s="164"/>
      <c r="Q159" s="225"/>
      <c r="R159" s="225"/>
      <c r="S159" s="165">
        <f>N159+O159</f>
        <v>0</v>
      </c>
      <c r="T159" s="224"/>
      <c r="U159" s="164"/>
      <c r="V159" s="164">
        <f>S159+T159</f>
        <v>0</v>
      </c>
      <c r="W159" s="187">
        <f t="shared" si="31"/>
        <v>0</v>
      </c>
      <c r="X159" s="188" t="e">
        <f t="shared" si="43"/>
        <v>#DIV/0!</v>
      </c>
      <c r="Y159" s="109"/>
      <c r="Z159" s="200"/>
      <c r="AA159" s="200"/>
      <c r="AB159" s="200"/>
      <c r="AC159" s="7"/>
      <c r="AD159" s="111"/>
      <c r="AE159" s="226"/>
      <c r="AF159" s="226"/>
      <c r="AG159" s="269"/>
      <c r="AH159" s="269"/>
      <c r="AI159" s="269"/>
      <c r="AJ159" s="269"/>
    </row>
    <row r="160" spans="1:36" s="427" customFormat="1" ht="12.75" hidden="1">
      <c r="A160" s="346" t="s">
        <v>270</v>
      </c>
      <c r="B160" s="347" t="s">
        <v>271</v>
      </c>
      <c r="C160" s="348">
        <v>0</v>
      </c>
      <c r="D160" s="291">
        <v>0</v>
      </c>
      <c r="E160" s="177">
        <f>'[2]2011 tulud'!$E154/15.6466</f>
        <v>0</v>
      </c>
      <c r="F160" s="178">
        <f>'[2]2011 tulud'!F154/15.6466</f>
        <v>0</v>
      </c>
      <c r="G160" s="179">
        <f>'[2]2011 tulud'!G154/15.6466</f>
        <v>0</v>
      </c>
      <c r="H160" s="179">
        <f>'[2]2011 tulud'!H154/15.6466</f>
        <v>0</v>
      </c>
      <c r="I160" s="180">
        <f>'[2]2011 tulud'!I154/15.6466</f>
        <v>0</v>
      </c>
      <c r="J160" s="299">
        <f>SUM(J161:J162)</f>
        <v>0</v>
      </c>
      <c r="K160" s="292">
        <f>SUM(K161:K162)</f>
        <v>0</v>
      </c>
      <c r="L160" s="361"/>
      <c r="M160" s="361"/>
      <c r="N160" s="283">
        <f t="shared" si="30"/>
        <v>0</v>
      </c>
      <c r="O160" s="349">
        <f aca="true" t="shared" si="46" ref="O160:V160">SUM(O161:O162)</f>
        <v>0</v>
      </c>
      <c r="P160" s="292">
        <f>SUM(P161:P162)</f>
        <v>0</v>
      </c>
      <c r="Q160" s="361"/>
      <c r="R160" s="361"/>
      <c r="S160" s="350">
        <f t="shared" si="46"/>
        <v>0</v>
      </c>
      <c r="T160" s="295">
        <f t="shared" si="46"/>
        <v>0</v>
      </c>
      <c r="U160" s="292">
        <f t="shared" si="46"/>
        <v>0</v>
      </c>
      <c r="V160" s="292">
        <f t="shared" si="46"/>
        <v>0</v>
      </c>
      <c r="W160" s="187">
        <f t="shared" si="31"/>
        <v>0</v>
      </c>
      <c r="X160" s="188" t="e">
        <f t="shared" si="43"/>
        <v>#DIV/0!</v>
      </c>
      <c r="Y160" s="109"/>
      <c r="Z160" s="200"/>
      <c r="AA160" s="200"/>
      <c r="AB160" s="200"/>
      <c r="AC160" s="298"/>
      <c r="AD160" s="111"/>
      <c r="AE160" s="324"/>
      <c r="AF160" s="324"/>
      <c r="AG160" s="397"/>
      <c r="AH160" s="397"/>
      <c r="AI160" s="397"/>
      <c r="AJ160" s="397"/>
    </row>
    <row r="161" spans="1:36" s="426" customFormat="1" ht="12.75" hidden="1">
      <c r="A161" s="192" t="s">
        <v>272</v>
      </c>
      <c r="B161" s="193" t="s">
        <v>273</v>
      </c>
      <c r="C161" s="194"/>
      <c r="D161" s="195"/>
      <c r="E161" s="177">
        <f>'[2]2011 tulud'!$E155/15.6466</f>
        <v>0</v>
      </c>
      <c r="F161" s="178">
        <f>'[2]2011 tulud'!F155/15.6466</f>
        <v>0</v>
      </c>
      <c r="G161" s="179">
        <f>'[2]2011 tulud'!G155/15.6466</f>
        <v>0</v>
      </c>
      <c r="H161" s="179">
        <f>'[2]2011 tulud'!H155/15.6466</f>
        <v>0</v>
      </c>
      <c r="I161" s="180">
        <f>'[2]2011 tulud'!I155/15.6466</f>
        <v>0</v>
      </c>
      <c r="J161" s="279"/>
      <c r="K161" s="164"/>
      <c r="L161" s="225"/>
      <c r="M161" s="225"/>
      <c r="N161" s="283">
        <f t="shared" si="30"/>
        <v>0</v>
      </c>
      <c r="O161" s="222"/>
      <c r="P161" s="164"/>
      <c r="Q161" s="225"/>
      <c r="R161" s="225"/>
      <c r="S161" s="165">
        <f>N161+O161</f>
        <v>0</v>
      </c>
      <c r="T161" s="224"/>
      <c r="U161" s="164"/>
      <c r="V161" s="164">
        <f>S161+T161</f>
        <v>0</v>
      </c>
      <c r="W161" s="187">
        <f t="shared" si="31"/>
        <v>0</v>
      </c>
      <c r="X161" s="188" t="e">
        <f t="shared" si="43"/>
        <v>#DIV/0!</v>
      </c>
      <c r="Y161" s="109"/>
      <c r="Z161" s="200"/>
      <c r="AA161" s="200"/>
      <c r="AB161" s="200"/>
      <c r="AC161" s="7"/>
      <c r="AD161" s="111"/>
      <c r="AE161" s="226"/>
      <c r="AF161" s="226"/>
      <c r="AG161" s="269"/>
      <c r="AH161" s="269"/>
      <c r="AI161" s="269"/>
      <c r="AJ161" s="269"/>
    </row>
    <row r="162" spans="1:36" s="426" customFormat="1" ht="12.75" hidden="1">
      <c r="A162" s="192" t="s">
        <v>274</v>
      </c>
      <c r="B162" s="193" t="s">
        <v>275</v>
      </c>
      <c r="C162" s="194"/>
      <c r="D162" s="195"/>
      <c r="E162" s="177">
        <f>'[2]2011 tulud'!$E156/15.6466</f>
        <v>0</v>
      </c>
      <c r="F162" s="178">
        <f>'[2]2011 tulud'!F156/15.6466</f>
        <v>0</v>
      </c>
      <c r="G162" s="179">
        <f>'[2]2011 tulud'!G156/15.6466</f>
        <v>0</v>
      </c>
      <c r="H162" s="179">
        <f>'[2]2011 tulud'!H156/15.6466</f>
        <v>0</v>
      </c>
      <c r="I162" s="180">
        <f>'[2]2011 tulud'!I156/15.6466</f>
        <v>0</v>
      </c>
      <c r="J162" s="279"/>
      <c r="K162" s="164"/>
      <c r="L162" s="225"/>
      <c r="M162" s="225"/>
      <c r="N162" s="283">
        <f t="shared" si="30"/>
        <v>0</v>
      </c>
      <c r="O162" s="222"/>
      <c r="P162" s="164"/>
      <c r="Q162" s="225"/>
      <c r="R162" s="225"/>
      <c r="S162" s="165">
        <f>N162+O162</f>
        <v>0</v>
      </c>
      <c r="T162" s="224"/>
      <c r="U162" s="164"/>
      <c r="V162" s="164">
        <f>S162+T162</f>
        <v>0</v>
      </c>
      <c r="W162" s="187">
        <f t="shared" si="31"/>
        <v>0</v>
      </c>
      <c r="X162" s="188" t="e">
        <f t="shared" si="43"/>
        <v>#DIV/0!</v>
      </c>
      <c r="Y162" s="109"/>
      <c r="Z162" s="200"/>
      <c r="AA162" s="200"/>
      <c r="AB162" s="200"/>
      <c r="AC162" s="7"/>
      <c r="AD162" s="111"/>
      <c r="AE162" s="226"/>
      <c r="AF162" s="226"/>
      <c r="AG162" s="269"/>
      <c r="AH162" s="269"/>
      <c r="AI162" s="269"/>
      <c r="AJ162" s="269"/>
    </row>
    <row r="163" spans="1:36" s="426" customFormat="1" ht="12.75" hidden="1">
      <c r="A163" s="192" t="s">
        <v>276</v>
      </c>
      <c r="B163" s="193" t="s">
        <v>277</v>
      </c>
      <c r="C163" s="194"/>
      <c r="D163" s="195"/>
      <c r="E163" s="177">
        <f>'[2]2011 tulud'!$E157/15.6466</f>
        <v>0</v>
      </c>
      <c r="F163" s="178">
        <f>'[2]2011 tulud'!F157/15.6466</f>
        <v>0</v>
      </c>
      <c r="G163" s="179">
        <f>'[2]2011 tulud'!G157/15.6466</f>
        <v>0</v>
      </c>
      <c r="H163" s="179">
        <f>'[2]2011 tulud'!H157/15.6466</f>
        <v>0</v>
      </c>
      <c r="I163" s="180">
        <f>'[2]2011 tulud'!I157/15.6466</f>
        <v>0</v>
      </c>
      <c r="J163" s="279"/>
      <c r="K163" s="164"/>
      <c r="L163" s="225"/>
      <c r="M163" s="225"/>
      <c r="N163" s="283">
        <f t="shared" si="30"/>
        <v>0</v>
      </c>
      <c r="O163" s="222"/>
      <c r="P163" s="164"/>
      <c r="Q163" s="225"/>
      <c r="R163" s="225"/>
      <c r="S163" s="165">
        <f>N163+O163</f>
        <v>0</v>
      </c>
      <c r="T163" s="224"/>
      <c r="U163" s="164"/>
      <c r="V163" s="164">
        <f>S163+T163</f>
        <v>0</v>
      </c>
      <c r="W163" s="187">
        <f t="shared" si="31"/>
        <v>0</v>
      </c>
      <c r="X163" s="188" t="e">
        <f t="shared" si="43"/>
        <v>#DIV/0!</v>
      </c>
      <c r="Y163" s="109"/>
      <c r="Z163" s="200"/>
      <c r="AA163" s="200"/>
      <c r="AB163" s="200"/>
      <c r="AC163" s="7"/>
      <c r="AD163" s="111"/>
      <c r="AE163" s="226"/>
      <c r="AF163" s="226"/>
      <c r="AG163" s="269"/>
      <c r="AH163" s="269"/>
      <c r="AI163" s="269"/>
      <c r="AJ163" s="269"/>
    </row>
    <row r="164" spans="1:36" s="426" customFormat="1" ht="12.75" hidden="1">
      <c r="A164" s="192" t="s">
        <v>278</v>
      </c>
      <c r="B164" s="193" t="s">
        <v>279</v>
      </c>
      <c r="C164" s="194"/>
      <c r="D164" s="195"/>
      <c r="E164" s="177">
        <f>'[2]2011 tulud'!$E158/15.6466</f>
        <v>0</v>
      </c>
      <c r="F164" s="178">
        <f>'[2]2011 tulud'!F158/15.6466</f>
        <v>0</v>
      </c>
      <c r="G164" s="179">
        <f>'[2]2011 tulud'!G158/15.6466</f>
        <v>0</v>
      </c>
      <c r="H164" s="179">
        <f>'[2]2011 tulud'!H158/15.6466</f>
        <v>0</v>
      </c>
      <c r="I164" s="180">
        <f>'[2]2011 tulud'!I158/15.6466</f>
        <v>0</v>
      </c>
      <c r="J164" s="279"/>
      <c r="K164" s="164"/>
      <c r="L164" s="225"/>
      <c r="M164" s="225"/>
      <c r="N164" s="283">
        <f aca="true" t="shared" si="47" ref="N164:N188">I164+J164</f>
        <v>0</v>
      </c>
      <c r="O164" s="222"/>
      <c r="P164" s="164"/>
      <c r="Q164" s="225"/>
      <c r="R164" s="225"/>
      <c r="S164" s="165">
        <f>N164+O164</f>
        <v>0</v>
      </c>
      <c r="T164" s="224"/>
      <c r="U164" s="164"/>
      <c r="V164" s="164">
        <f>S164+T164</f>
        <v>0</v>
      </c>
      <c r="W164" s="187">
        <f aca="true" t="shared" si="48" ref="W164:W184">N164-G164</f>
        <v>0</v>
      </c>
      <c r="X164" s="188" t="e">
        <f t="shared" si="43"/>
        <v>#DIV/0!</v>
      </c>
      <c r="Y164" s="109"/>
      <c r="Z164" s="200"/>
      <c r="AA164" s="200"/>
      <c r="AB164" s="200"/>
      <c r="AC164" s="7"/>
      <c r="AD164" s="111"/>
      <c r="AE164" s="226"/>
      <c r="AF164" s="226"/>
      <c r="AG164" s="269"/>
      <c r="AH164" s="269"/>
      <c r="AI164" s="269"/>
      <c r="AJ164" s="269"/>
    </row>
    <row r="165" spans="1:36" s="426" customFormat="1" ht="12.75" hidden="1">
      <c r="A165" s="192" t="s">
        <v>280</v>
      </c>
      <c r="B165" s="193" t="s">
        <v>281</v>
      </c>
      <c r="C165" s="194"/>
      <c r="D165" s="195"/>
      <c r="E165" s="177">
        <f>'[2]2011 tulud'!$E159/15.6466</f>
        <v>0</v>
      </c>
      <c r="F165" s="178">
        <f>'[2]2011 tulud'!F159/15.6466</f>
        <v>0</v>
      </c>
      <c r="G165" s="179">
        <f>'[2]2011 tulud'!G159/15.6466</f>
        <v>0</v>
      </c>
      <c r="H165" s="179">
        <f>'[2]2011 tulud'!H159/15.6466</f>
        <v>0</v>
      </c>
      <c r="I165" s="180">
        <f>'[2]2011 tulud'!I159/15.6466</f>
        <v>0</v>
      </c>
      <c r="J165" s="279"/>
      <c r="K165" s="164"/>
      <c r="L165" s="225"/>
      <c r="M165" s="225"/>
      <c r="N165" s="283">
        <f t="shared" si="47"/>
        <v>0</v>
      </c>
      <c r="O165" s="222"/>
      <c r="P165" s="164"/>
      <c r="Q165" s="225"/>
      <c r="R165" s="225"/>
      <c r="S165" s="165">
        <f>N165+O165</f>
        <v>0</v>
      </c>
      <c r="T165" s="224"/>
      <c r="U165" s="164"/>
      <c r="V165" s="164">
        <f>S165+T165</f>
        <v>0</v>
      </c>
      <c r="W165" s="187">
        <f t="shared" si="48"/>
        <v>0</v>
      </c>
      <c r="X165" s="188" t="e">
        <f t="shared" si="43"/>
        <v>#DIV/0!</v>
      </c>
      <c r="Y165" s="109"/>
      <c r="Z165" s="200"/>
      <c r="AA165" s="200"/>
      <c r="AB165" s="200"/>
      <c r="AC165" s="7"/>
      <c r="AD165" s="111"/>
      <c r="AE165" s="226"/>
      <c r="AF165" s="226"/>
      <c r="AG165" s="269"/>
      <c r="AH165" s="269"/>
      <c r="AI165" s="269"/>
      <c r="AJ165" s="269"/>
    </row>
    <row r="166" spans="1:32" s="29" customFormat="1" ht="11.25" customHeight="1">
      <c r="A166" s="227" t="s">
        <v>282</v>
      </c>
      <c r="B166" s="281" t="s">
        <v>283</v>
      </c>
      <c r="C166" s="229">
        <v>1000</v>
      </c>
      <c r="D166" s="230">
        <v>1500</v>
      </c>
      <c r="E166" s="177">
        <f>'[2]2011 tulud'!$E160/15.6466</f>
        <v>127.82329707412474</v>
      </c>
      <c r="F166" s="178">
        <f>'[2]2011 tulud'!F160/15.6466</f>
        <v>127.82329707412474</v>
      </c>
      <c r="G166" s="179">
        <f>'[2]2011 tulud'!G160/15.6466</f>
        <v>0</v>
      </c>
      <c r="H166" s="179">
        <f>'[2]2011 tulud'!H160/15.6466</f>
        <v>121090.14098909668</v>
      </c>
      <c r="I166" s="180">
        <f>'[2]2011 tulud'!I160/15.6466</f>
        <v>108.64980251300602</v>
      </c>
      <c r="J166" s="282">
        <f>J167+J170+J174+J178+J179+J180</f>
        <v>0</v>
      </c>
      <c r="K166" s="185">
        <f>K167+K170+K174+K178+K179+K180</f>
        <v>0</v>
      </c>
      <c r="L166" s="359"/>
      <c r="M166" s="359"/>
      <c r="N166" s="283">
        <f t="shared" si="47"/>
        <v>108.64980251300602</v>
      </c>
      <c r="O166" s="360">
        <f aca="true" t="shared" si="49" ref="O166:V166">O167+O170+O174+O178+O179+O180</f>
        <v>0</v>
      </c>
      <c r="P166" s="185">
        <f>P167+P170+P174+P178+P179+P180</f>
        <v>0</v>
      </c>
      <c r="Q166" s="359"/>
      <c r="R166" s="359"/>
      <c r="S166" s="343">
        <f t="shared" si="49"/>
        <v>108.64980251300602</v>
      </c>
      <c r="T166" s="344">
        <f t="shared" si="49"/>
        <v>0</v>
      </c>
      <c r="U166" s="185">
        <f t="shared" si="49"/>
        <v>0</v>
      </c>
      <c r="V166" s="185">
        <f t="shared" si="49"/>
        <v>108.64980251300602</v>
      </c>
      <c r="W166" s="187">
        <f t="shared" si="48"/>
        <v>108.64980251300602</v>
      </c>
      <c r="X166" s="188"/>
      <c r="Y166" s="109"/>
      <c r="Z166" s="200"/>
      <c r="AA166" s="200"/>
      <c r="AB166" s="200"/>
      <c r="AC166" s="148"/>
      <c r="AD166" s="111"/>
      <c r="AE166" s="190"/>
      <c r="AF166" s="190"/>
    </row>
    <row r="167" spans="1:36" s="88" customFormat="1" ht="12.75">
      <c r="A167" s="192" t="s">
        <v>284</v>
      </c>
      <c r="B167" s="193" t="s">
        <v>285</v>
      </c>
      <c r="C167" s="194">
        <v>1000</v>
      </c>
      <c r="D167" s="195">
        <v>1500</v>
      </c>
      <c r="E167" s="177">
        <f>'[2]2011 tulud'!$E161/15.6466</f>
        <v>127.82329707412474</v>
      </c>
      <c r="F167" s="178">
        <f>'[2]2011 tulud'!F161/15.6466</f>
        <v>127.82329707412474</v>
      </c>
      <c r="G167" s="179">
        <f>'[2]2011 tulud'!G161/15.6466</f>
        <v>0</v>
      </c>
      <c r="H167" s="179">
        <f>'[2]2011 tulud'!H161/15.6466</f>
        <v>106.34898316567178</v>
      </c>
      <c r="I167" s="180">
        <f>'[2]2011 tulud'!I161/15.6466</f>
        <v>108.64980251300602</v>
      </c>
      <c r="J167" s="279">
        <f>SUM(J168:J169)</f>
        <v>0</v>
      </c>
      <c r="K167" s="164">
        <f>SUM(K168:K169)</f>
        <v>0</v>
      </c>
      <c r="L167" s="225"/>
      <c r="M167" s="225"/>
      <c r="N167" s="283">
        <f t="shared" si="47"/>
        <v>108.64980251300602</v>
      </c>
      <c r="O167" s="222">
        <f aca="true" t="shared" si="50" ref="O167:V167">SUM(O168:O169)</f>
        <v>0</v>
      </c>
      <c r="P167" s="164">
        <f>SUM(P168:P169)</f>
        <v>0</v>
      </c>
      <c r="Q167" s="225">
        <v>0</v>
      </c>
      <c r="R167" s="225"/>
      <c r="S167" s="165">
        <f t="shared" si="50"/>
        <v>108.64980251300602</v>
      </c>
      <c r="T167" s="224">
        <f t="shared" si="50"/>
        <v>0</v>
      </c>
      <c r="U167" s="164">
        <f t="shared" si="50"/>
        <v>0</v>
      </c>
      <c r="V167" s="164">
        <f t="shared" si="50"/>
        <v>108.64980251300602</v>
      </c>
      <c r="W167" s="187">
        <f t="shared" si="48"/>
        <v>108.64980251300602</v>
      </c>
      <c r="X167" s="188"/>
      <c r="Y167" s="109"/>
      <c r="Z167" s="200"/>
      <c r="AA167" s="200"/>
      <c r="AB167" s="200"/>
      <c r="AC167" s="7"/>
      <c r="AD167" s="111"/>
      <c r="AG167" s="9"/>
      <c r="AH167" s="9"/>
      <c r="AI167" s="9"/>
      <c r="AJ167" s="9"/>
    </row>
    <row r="168" spans="1:32" s="397" customFormat="1" ht="12.75">
      <c r="A168" s="346" t="s">
        <v>286</v>
      </c>
      <c r="B168" s="347" t="s">
        <v>287</v>
      </c>
      <c r="C168" s="348">
        <v>1000</v>
      </c>
      <c r="D168" s="291">
        <v>1500</v>
      </c>
      <c r="E168" s="177">
        <f>'[2]2011 tulud'!$E162/15.6466</f>
        <v>127.82329707412474</v>
      </c>
      <c r="F168" s="178">
        <f>'[2]2011 tulud'!F162/15.6466</f>
        <v>127.82329707412474</v>
      </c>
      <c r="G168" s="179">
        <f>'[2]2011 tulud'!G162/15.6466</f>
        <v>0</v>
      </c>
      <c r="H168" s="179">
        <f>'[2]2011 tulud'!H162/15.6466</f>
        <v>106.34898316567178</v>
      </c>
      <c r="I168" s="180">
        <f>'[2]2011 tulud'!I162/15.6466</f>
        <v>108.64980251300602</v>
      </c>
      <c r="J168" s="279">
        <f>K168+L168+M168</f>
        <v>0</v>
      </c>
      <c r="K168" s="292"/>
      <c r="L168" s="361"/>
      <c r="M168" s="361"/>
      <c r="N168" s="283">
        <f t="shared" si="47"/>
        <v>108.64980251300602</v>
      </c>
      <c r="O168" s="222"/>
      <c r="P168" s="292"/>
      <c r="Q168" s="361"/>
      <c r="R168" s="361"/>
      <c r="S168" s="165">
        <f>N168+O168</f>
        <v>108.64980251300602</v>
      </c>
      <c r="T168" s="224"/>
      <c r="U168" s="164"/>
      <c r="V168" s="164">
        <f>S168+T168</f>
        <v>108.64980251300602</v>
      </c>
      <c r="W168" s="187">
        <f t="shared" si="48"/>
        <v>108.64980251300602</v>
      </c>
      <c r="X168" s="188"/>
      <c r="Y168" s="109"/>
      <c r="Z168" s="200"/>
      <c r="AA168" s="200"/>
      <c r="AB168" s="200"/>
      <c r="AC168" s="7"/>
      <c r="AD168" s="111"/>
      <c r="AE168" s="324"/>
      <c r="AF168" s="324"/>
    </row>
    <row r="169" spans="1:32" s="397" customFormat="1" ht="12.75" hidden="1">
      <c r="A169" s="346" t="s">
        <v>288</v>
      </c>
      <c r="B169" s="347" t="s">
        <v>289</v>
      </c>
      <c r="C169" s="348"/>
      <c r="D169" s="291"/>
      <c r="E169" s="177">
        <f>'[2]2011 tulud'!$E163/15.6466</f>
        <v>0</v>
      </c>
      <c r="F169" s="178">
        <f>'[2]2011 tulud'!F163/15.6466</f>
        <v>0</v>
      </c>
      <c r="G169" s="179">
        <f>'[2]2011 tulud'!G163/15.6466</f>
        <v>0</v>
      </c>
      <c r="H169" s="179">
        <f>'[2]2011 tulud'!H163/15.6466</f>
        <v>0</v>
      </c>
      <c r="I169" s="180">
        <f>'[2]2011 tulud'!I163/15.6466</f>
        <v>0</v>
      </c>
      <c r="J169" s="279">
        <f aca="true" t="shared" si="51" ref="J169:J179">K169+L169+M169</f>
        <v>0</v>
      </c>
      <c r="K169" s="292"/>
      <c r="L169" s="361"/>
      <c r="M169" s="361"/>
      <c r="N169" s="283">
        <f t="shared" si="47"/>
        <v>0</v>
      </c>
      <c r="O169" s="222"/>
      <c r="P169" s="292"/>
      <c r="Q169" s="361"/>
      <c r="R169" s="361"/>
      <c r="S169" s="165">
        <f>N169+O169</f>
        <v>0</v>
      </c>
      <c r="T169" s="224"/>
      <c r="U169" s="164"/>
      <c r="V169" s="164">
        <f>S169+T169</f>
        <v>0</v>
      </c>
      <c r="W169" s="187">
        <f t="shared" si="48"/>
        <v>0</v>
      </c>
      <c r="X169" s="188" t="e">
        <f aca="true" t="shared" si="52" ref="X169:X181">G169/E169*100</f>
        <v>#DIV/0!</v>
      </c>
      <c r="Y169" s="109"/>
      <c r="Z169" s="200"/>
      <c r="AA169" s="200"/>
      <c r="AB169" s="200"/>
      <c r="AC169" s="7"/>
      <c r="AD169" s="111"/>
      <c r="AE169" s="324"/>
      <c r="AF169" s="324"/>
    </row>
    <row r="170" spans="1:255" ht="12.75" hidden="1">
      <c r="A170" s="192" t="s">
        <v>290</v>
      </c>
      <c r="B170" s="193" t="s">
        <v>291</v>
      </c>
      <c r="C170" s="194">
        <v>0</v>
      </c>
      <c r="D170" s="195">
        <v>0</v>
      </c>
      <c r="E170" s="177">
        <f>'[2]2011 tulud'!$E164/15.6466</f>
        <v>0</v>
      </c>
      <c r="F170" s="178">
        <f>'[2]2011 tulud'!F164/15.6466</f>
        <v>0</v>
      </c>
      <c r="G170" s="179">
        <f>'[2]2011 tulud'!G164/15.6466</f>
        <v>0</v>
      </c>
      <c r="H170" s="179">
        <f>'[2]2011 tulud'!H164/15.6466</f>
        <v>0</v>
      </c>
      <c r="I170" s="180">
        <f>'[2]2011 tulud'!I164/15.6466</f>
        <v>0</v>
      </c>
      <c r="J170" s="279">
        <f t="shared" si="51"/>
        <v>0</v>
      </c>
      <c r="K170" s="164">
        <f>SUM(K171:K173)</f>
        <v>0</v>
      </c>
      <c r="L170" s="225"/>
      <c r="M170" s="225"/>
      <c r="N170" s="283">
        <f t="shared" si="47"/>
        <v>0</v>
      </c>
      <c r="O170" s="222">
        <f aca="true" t="shared" si="53" ref="O170:V170">SUM(O171:O173)</f>
        <v>0</v>
      </c>
      <c r="P170" s="164">
        <f>SUM(P171:P173)</f>
        <v>0</v>
      </c>
      <c r="Q170" s="225"/>
      <c r="R170" s="225"/>
      <c r="S170" s="165">
        <f t="shared" si="53"/>
        <v>0</v>
      </c>
      <c r="T170" s="224">
        <f t="shared" si="53"/>
        <v>0</v>
      </c>
      <c r="U170" s="164">
        <f t="shared" si="53"/>
        <v>0</v>
      </c>
      <c r="V170" s="164">
        <f t="shared" si="53"/>
        <v>0</v>
      </c>
      <c r="W170" s="187">
        <f t="shared" si="48"/>
        <v>0</v>
      </c>
      <c r="X170" s="188" t="e">
        <f t="shared" si="52"/>
        <v>#DIV/0!</v>
      </c>
      <c r="Y170" s="109"/>
      <c r="Z170" s="200"/>
      <c r="AA170" s="200"/>
      <c r="AB170" s="200"/>
      <c r="AC170" s="7"/>
      <c r="AD170" s="111"/>
      <c r="AE170" s="88"/>
      <c r="AF170" s="88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</row>
    <row r="171" spans="1:32" s="397" customFormat="1" ht="12.75" hidden="1">
      <c r="A171" s="346" t="s">
        <v>292</v>
      </c>
      <c r="B171" s="347" t="s">
        <v>293</v>
      </c>
      <c r="C171" s="348"/>
      <c r="D171" s="291"/>
      <c r="E171" s="177">
        <f>'[2]2011 tulud'!$E165/15.6466</f>
        <v>0</v>
      </c>
      <c r="F171" s="178">
        <f>'[2]2011 tulud'!F165/15.6466</f>
        <v>0</v>
      </c>
      <c r="G171" s="179">
        <f>'[2]2011 tulud'!G165/15.6466</f>
        <v>0</v>
      </c>
      <c r="H171" s="179">
        <f>'[2]2011 tulud'!H165/15.6466</f>
        <v>0</v>
      </c>
      <c r="I171" s="180">
        <f>'[2]2011 tulud'!I165/15.6466</f>
        <v>0</v>
      </c>
      <c r="J171" s="279">
        <f t="shared" si="51"/>
        <v>0</v>
      </c>
      <c r="K171" s="292"/>
      <c r="L171" s="361"/>
      <c r="M171" s="361"/>
      <c r="N171" s="283">
        <f t="shared" si="47"/>
        <v>0</v>
      </c>
      <c r="O171" s="222"/>
      <c r="P171" s="292"/>
      <c r="Q171" s="361"/>
      <c r="R171" s="361"/>
      <c r="S171" s="165">
        <f>N171+O171</f>
        <v>0</v>
      </c>
      <c r="T171" s="224"/>
      <c r="U171" s="164"/>
      <c r="V171" s="164">
        <f>S171+T171</f>
        <v>0</v>
      </c>
      <c r="W171" s="187">
        <f t="shared" si="48"/>
        <v>0</v>
      </c>
      <c r="X171" s="188" t="e">
        <f t="shared" si="52"/>
        <v>#DIV/0!</v>
      </c>
      <c r="Y171" s="109"/>
      <c r="Z171" s="200"/>
      <c r="AA171" s="200"/>
      <c r="AB171" s="200"/>
      <c r="AC171" s="7"/>
      <c r="AD171" s="111"/>
      <c r="AE171" s="324"/>
      <c r="AF171" s="324"/>
    </row>
    <row r="172" spans="1:32" s="397" customFormat="1" ht="12.75" hidden="1">
      <c r="A172" s="346" t="s">
        <v>294</v>
      </c>
      <c r="B172" s="347" t="s">
        <v>295</v>
      </c>
      <c r="C172" s="348"/>
      <c r="D172" s="291"/>
      <c r="E172" s="177">
        <f>'[2]2011 tulud'!$E166/15.6466</f>
        <v>0</v>
      </c>
      <c r="F172" s="178">
        <f>'[2]2011 tulud'!F166/15.6466</f>
        <v>0</v>
      </c>
      <c r="G172" s="179">
        <f>'[2]2011 tulud'!G166/15.6466</f>
        <v>0</v>
      </c>
      <c r="H172" s="179">
        <f>'[2]2011 tulud'!H166/15.6466</f>
        <v>0</v>
      </c>
      <c r="I172" s="180">
        <f>'[2]2011 tulud'!I166/15.6466</f>
        <v>0</v>
      </c>
      <c r="J172" s="279">
        <f t="shared" si="51"/>
        <v>0</v>
      </c>
      <c r="K172" s="292"/>
      <c r="L172" s="361"/>
      <c r="M172" s="361"/>
      <c r="N172" s="283">
        <f t="shared" si="47"/>
        <v>0</v>
      </c>
      <c r="O172" s="222"/>
      <c r="P172" s="292"/>
      <c r="Q172" s="361"/>
      <c r="R172" s="361"/>
      <c r="S172" s="165">
        <f>N172+O172</f>
        <v>0</v>
      </c>
      <c r="T172" s="224"/>
      <c r="U172" s="164"/>
      <c r="V172" s="164">
        <f>S172+T172</f>
        <v>0</v>
      </c>
      <c r="W172" s="187">
        <f t="shared" si="48"/>
        <v>0</v>
      </c>
      <c r="X172" s="188" t="e">
        <f t="shared" si="52"/>
        <v>#DIV/0!</v>
      </c>
      <c r="Y172" s="109"/>
      <c r="Z172" s="200"/>
      <c r="AA172" s="200"/>
      <c r="AB172" s="200"/>
      <c r="AC172" s="7"/>
      <c r="AD172" s="111"/>
      <c r="AE172" s="324"/>
      <c r="AF172" s="324"/>
    </row>
    <row r="173" spans="1:32" s="397" customFormat="1" ht="12.75" hidden="1">
      <c r="A173" s="346" t="s">
        <v>296</v>
      </c>
      <c r="B173" s="347" t="s">
        <v>297</v>
      </c>
      <c r="C173" s="348"/>
      <c r="D173" s="291"/>
      <c r="E173" s="177">
        <f>'[2]2011 tulud'!$E167/15.6466</f>
        <v>0</v>
      </c>
      <c r="F173" s="178">
        <f>'[2]2011 tulud'!F167/15.6466</f>
        <v>0</v>
      </c>
      <c r="G173" s="179">
        <f>'[2]2011 tulud'!G167/15.6466</f>
        <v>0</v>
      </c>
      <c r="H173" s="179">
        <f>'[2]2011 tulud'!H167/15.6466</f>
        <v>0</v>
      </c>
      <c r="I173" s="180">
        <f>'[2]2011 tulud'!I167/15.6466</f>
        <v>0</v>
      </c>
      <c r="J173" s="279">
        <f t="shared" si="51"/>
        <v>0</v>
      </c>
      <c r="K173" s="292"/>
      <c r="L173" s="361"/>
      <c r="M173" s="361"/>
      <c r="N173" s="283">
        <f t="shared" si="47"/>
        <v>0</v>
      </c>
      <c r="O173" s="222"/>
      <c r="P173" s="292"/>
      <c r="Q173" s="361"/>
      <c r="R173" s="361"/>
      <c r="S173" s="165">
        <f>N173+O173</f>
        <v>0</v>
      </c>
      <c r="T173" s="224"/>
      <c r="U173" s="164"/>
      <c r="V173" s="164">
        <f>S173+T173</f>
        <v>0</v>
      </c>
      <c r="W173" s="187">
        <f t="shared" si="48"/>
        <v>0</v>
      </c>
      <c r="X173" s="188" t="e">
        <f t="shared" si="52"/>
        <v>#DIV/0!</v>
      </c>
      <c r="Y173" s="109"/>
      <c r="Z173" s="200"/>
      <c r="AA173" s="200"/>
      <c r="AB173" s="200"/>
      <c r="AC173" s="7"/>
      <c r="AD173" s="111"/>
      <c r="AE173" s="324"/>
      <c r="AF173" s="324"/>
    </row>
    <row r="174" spans="1:255" ht="12.75" hidden="1">
      <c r="A174" s="192" t="s">
        <v>298</v>
      </c>
      <c r="B174" s="193" t="s">
        <v>299</v>
      </c>
      <c r="C174" s="194">
        <v>0</v>
      </c>
      <c r="D174" s="195">
        <v>0</v>
      </c>
      <c r="E174" s="177">
        <f>'[2]2011 tulud'!$E168/15.6466</f>
        <v>0</v>
      </c>
      <c r="F174" s="178">
        <f>'[2]2011 tulud'!F168/15.6466</f>
        <v>0</v>
      </c>
      <c r="G174" s="179">
        <f>'[2]2011 tulud'!G168/15.6466</f>
        <v>0</v>
      </c>
      <c r="H174" s="179">
        <f>'[2]2011 tulud'!H168/15.6466</f>
        <v>0</v>
      </c>
      <c r="I174" s="180">
        <f>'[2]2011 tulud'!I168/15.6466</f>
        <v>0</v>
      </c>
      <c r="J174" s="279">
        <f t="shared" si="51"/>
        <v>0</v>
      </c>
      <c r="K174" s="164">
        <f>SUM(K175:K177)</f>
        <v>0</v>
      </c>
      <c r="L174" s="225"/>
      <c r="M174" s="225"/>
      <c r="N174" s="283">
        <f t="shared" si="47"/>
        <v>0</v>
      </c>
      <c r="O174" s="222">
        <f aca="true" t="shared" si="54" ref="O174:V174">SUM(O175:O177)</f>
        <v>0</v>
      </c>
      <c r="P174" s="164">
        <f>SUM(P175:P177)</f>
        <v>0</v>
      </c>
      <c r="Q174" s="225"/>
      <c r="R174" s="225"/>
      <c r="S174" s="165">
        <f t="shared" si="54"/>
        <v>0</v>
      </c>
      <c r="T174" s="224">
        <f t="shared" si="54"/>
        <v>0</v>
      </c>
      <c r="U174" s="164">
        <f t="shared" si="54"/>
        <v>0</v>
      </c>
      <c r="V174" s="164">
        <f t="shared" si="54"/>
        <v>0</v>
      </c>
      <c r="W174" s="187">
        <f t="shared" si="48"/>
        <v>0</v>
      </c>
      <c r="X174" s="188" t="e">
        <f t="shared" si="52"/>
        <v>#DIV/0!</v>
      </c>
      <c r="Y174" s="109"/>
      <c r="Z174" s="200"/>
      <c r="AA174" s="200"/>
      <c r="AB174" s="200"/>
      <c r="AC174" s="7"/>
      <c r="AD174" s="111"/>
      <c r="AE174" s="88"/>
      <c r="AF174" s="88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</row>
    <row r="175" spans="1:32" s="397" customFormat="1" ht="12.75" hidden="1">
      <c r="A175" s="346" t="s">
        <v>300</v>
      </c>
      <c r="B175" s="347" t="s">
        <v>301</v>
      </c>
      <c r="C175" s="348"/>
      <c r="D175" s="291"/>
      <c r="E175" s="177">
        <f>'[2]2011 tulud'!$E169/15.6466</f>
        <v>0</v>
      </c>
      <c r="F175" s="178">
        <f>'[2]2011 tulud'!F169/15.6466</f>
        <v>0</v>
      </c>
      <c r="G175" s="179">
        <f>'[2]2011 tulud'!G169/15.6466</f>
        <v>0</v>
      </c>
      <c r="H175" s="179">
        <f>'[2]2011 tulud'!H169/15.6466</f>
        <v>0</v>
      </c>
      <c r="I175" s="180">
        <f>'[2]2011 tulud'!I169/15.6466</f>
        <v>0</v>
      </c>
      <c r="J175" s="279">
        <f t="shared" si="51"/>
        <v>0</v>
      </c>
      <c r="K175" s="292"/>
      <c r="L175" s="361"/>
      <c r="M175" s="361"/>
      <c r="N175" s="283">
        <f t="shared" si="47"/>
        <v>0</v>
      </c>
      <c r="O175" s="222"/>
      <c r="P175" s="292"/>
      <c r="Q175" s="361"/>
      <c r="R175" s="361"/>
      <c r="S175" s="165">
        <f aca="true" t="shared" si="55" ref="S175:S180">N175+O175</f>
        <v>0</v>
      </c>
      <c r="T175" s="224"/>
      <c r="U175" s="164"/>
      <c r="V175" s="164">
        <f aca="true" t="shared" si="56" ref="V175:V180">S175+T175</f>
        <v>0</v>
      </c>
      <c r="W175" s="187">
        <f t="shared" si="48"/>
        <v>0</v>
      </c>
      <c r="X175" s="188" t="e">
        <f t="shared" si="52"/>
        <v>#DIV/0!</v>
      </c>
      <c r="Y175" s="109"/>
      <c r="Z175" s="200"/>
      <c r="AA175" s="200"/>
      <c r="AB175" s="200"/>
      <c r="AC175" s="7"/>
      <c r="AD175" s="111"/>
      <c r="AE175" s="324"/>
      <c r="AF175" s="324"/>
    </row>
    <row r="176" spans="1:32" s="397" customFormat="1" ht="12.75" hidden="1">
      <c r="A176" s="346" t="s">
        <v>302</v>
      </c>
      <c r="B176" s="347" t="s">
        <v>303</v>
      </c>
      <c r="C176" s="348"/>
      <c r="D176" s="291"/>
      <c r="E176" s="177">
        <f>'[2]2011 tulud'!$E170/15.6466</f>
        <v>0</v>
      </c>
      <c r="F176" s="178">
        <f>'[2]2011 tulud'!F170/15.6466</f>
        <v>0</v>
      </c>
      <c r="G176" s="179">
        <f>'[2]2011 tulud'!G170/15.6466</f>
        <v>0</v>
      </c>
      <c r="H176" s="179">
        <f>'[2]2011 tulud'!H170/15.6466</f>
        <v>0</v>
      </c>
      <c r="I176" s="180">
        <f>'[2]2011 tulud'!I170/15.6466</f>
        <v>0</v>
      </c>
      <c r="J176" s="279">
        <f t="shared" si="51"/>
        <v>0</v>
      </c>
      <c r="K176" s="292"/>
      <c r="L176" s="361"/>
      <c r="M176" s="361"/>
      <c r="N176" s="283">
        <f t="shared" si="47"/>
        <v>0</v>
      </c>
      <c r="O176" s="222"/>
      <c r="P176" s="292"/>
      <c r="Q176" s="361"/>
      <c r="R176" s="361"/>
      <c r="S176" s="165">
        <f t="shared" si="55"/>
        <v>0</v>
      </c>
      <c r="T176" s="224"/>
      <c r="U176" s="164"/>
      <c r="V176" s="164">
        <f t="shared" si="56"/>
        <v>0</v>
      </c>
      <c r="W176" s="187">
        <f t="shared" si="48"/>
        <v>0</v>
      </c>
      <c r="X176" s="188" t="e">
        <f t="shared" si="52"/>
        <v>#DIV/0!</v>
      </c>
      <c r="Y176" s="109"/>
      <c r="Z176" s="200"/>
      <c r="AA176" s="200"/>
      <c r="AB176" s="200"/>
      <c r="AC176" s="7"/>
      <c r="AD176" s="111"/>
      <c r="AE176" s="324"/>
      <c r="AF176" s="324"/>
    </row>
    <row r="177" spans="1:32" s="397" customFormat="1" ht="12.75" hidden="1">
      <c r="A177" s="346" t="s">
        <v>304</v>
      </c>
      <c r="B177" s="347" t="s">
        <v>305</v>
      </c>
      <c r="C177" s="348"/>
      <c r="D177" s="291"/>
      <c r="E177" s="177">
        <f>'[2]2011 tulud'!$E171/15.6466</f>
        <v>0</v>
      </c>
      <c r="F177" s="178">
        <f>'[2]2011 tulud'!F171/15.6466</f>
        <v>0</v>
      </c>
      <c r="G177" s="179">
        <f>'[2]2011 tulud'!G171/15.6466</f>
        <v>0</v>
      </c>
      <c r="H177" s="179">
        <f>'[2]2011 tulud'!H171/15.6466</f>
        <v>0</v>
      </c>
      <c r="I177" s="180">
        <f>'[2]2011 tulud'!I171/15.6466</f>
        <v>0</v>
      </c>
      <c r="J177" s="279">
        <f t="shared" si="51"/>
        <v>0</v>
      </c>
      <c r="K177" s="292"/>
      <c r="L177" s="361"/>
      <c r="M177" s="361"/>
      <c r="N177" s="283">
        <f t="shared" si="47"/>
        <v>0</v>
      </c>
      <c r="O177" s="222"/>
      <c r="P177" s="292"/>
      <c r="Q177" s="361"/>
      <c r="R177" s="361"/>
      <c r="S177" s="165">
        <f t="shared" si="55"/>
        <v>0</v>
      </c>
      <c r="T177" s="224"/>
      <c r="U177" s="164"/>
      <c r="V177" s="164">
        <f t="shared" si="56"/>
        <v>0</v>
      </c>
      <c r="W177" s="187">
        <f t="shared" si="48"/>
        <v>0</v>
      </c>
      <c r="X177" s="188" t="e">
        <f t="shared" si="52"/>
        <v>#DIV/0!</v>
      </c>
      <c r="Y177" s="109"/>
      <c r="Z177" s="200"/>
      <c r="AA177" s="200"/>
      <c r="AB177" s="200"/>
      <c r="AC177" s="7"/>
      <c r="AD177" s="111"/>
      <c r="AE177" s="324"/>
      <c r="AF177" s="324"/>
    </row>
    <row r="178" spans="1:255" ht="12.75" hidden="1">
      <c r="A178" s="192" t="s">
        <v>306</v>
      </c>
      <c r="B178" s="193" t="s">
        <v>307</v>
      </c>
      <c r="C178" s="194"/>
      <c r="D178" s="195"/>
      <c r="E178" s="177">
        <f>'[2]2011 tulud'!$E172/15.6466</f>
        <v>0</v>
      </c>
      <c r="F178" s="178">
        <f>'[2]2011 tulud'!F172/15.6466</f>
        <v>0</v>
      </c>
      <c r="G178" s="179">
        <f>'[2]2011 tulud'!G172/15.6466</f>
        <v>0</v>
      </c>
      <c r="H178" s="179">
        <f>'[2]2011 tulud'!H172/15.6466</f>
        <v>0</v>
      </c>
      <c r="I178" s="180">
        <f>'[2]2011 tulud'!I172/15.6466</f>
        <v>0</v>
      </c>
      <c r="J178" s="279">
        <f t="shared" si="51"/>
        <v>0</v>
      </c>
      <c r="K178" s="164"/>
      <c r="L178" s="225"/>
      <c r="M178" s="225"/>
      <c r="N178" s="283">
        <f t="shared" si="47"/>
        <v>0</v>
      </c>
      <c r="O178" s="222"/>
      <c r="P178" s="164"/>
      <c r="Q178" s="225"/>
      <c r="R178" s="225"/>
      <c r="S178" s="165">
        <f t="shared" si="55"/>
        <v>0</v>
      </c>
      <c r="T178" s="224"/>
      <c r="U178" s="164"/>
      <c r="V178" s="164">
        <f t="shared" si="56"/>
        <v>0</v>
      </c>
      <c r="W178" s="187">
        <f t="shared" si="48"/>
        <v>0</v>
      </c>
      <c r="X178" s="188" t="e">
        <f t="shared" si="52"/>
        <v>#DIV/0!</v>
      </c>
      <c r="Y178" s="109"/>
      <c r="Z178" s="200"/>
      <c r="AA178" s="200"/>
      <c r="AB178" s="200"/>
      <c r="AC178" s="7"/>
      <c r="AD178" s="111"/>
      <c r="AE178" s="88"/>
      <c r="AF178" s="88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</row>
    <row r="179" spans="1:256" s="10" customFormat="1" ht="12.75">
      <c r="A179" s="192" t="s">
        <v>308</v>
      </c>
      <c r="B179" s="193" t="s">
        <v>309</v>
      </c>
      <c r="C179" s="194"/>
      <c r="D179" s="195"/>
      <c r="E179" s="177">
        <f>'[2]2011 tulud'!$E173/15.6466</f>
        <v>0</v>
      </c>
      <c r="F179" s="178">
        <f>'[2]2011 tulud'!F173/15.6466</f>
        <v>0</v>
      </c>
      <c r="G179" s="179">
        <f>'[2]2011 tulud'!G173/15.6466</f>
        <v>0</v>
      </c>
      <c r="H179" s="179">
        <f>'[2]2011 tulud'!H173/15.6466</f>
        <v>120983.79200593101</v>
      </c>
      <c r="I179" s="180">
        <f>'[2]2011 tulud'!I173/15.6466</f>
        <v>0</v>
      </c>
      <c r="J179" s="279">
        <f t="shared" si="51"/>
        <v>0</v>
      </c>
      <c r="K179" s="164"/>
      <c r="L179" s="225"/>
      <c r="M179" s="225"/>
      <c r="N179" s="283">
        <f t="shared" si="47"/>
        <v>0</v>
      </c>
      <c r="O179" s="222"/>
      <c r="P179" s="164"/>
      <c r="Q179" s="225"/>
      <c r="R179" s="225"/>
      <c r="S179" s="165">
        <f t="shared" si="55"/>
        <v>0</v>
      </c>
      <c r="T179" s="224"/>
      <c r="U179" s="164"/>
      <c r="V179" s="164">
        <f t="shared" si="56"/>
        <v>0</v>
      </c>
      <c r="W179" s="187">
        <f t="shared" si="48"/>
        <v>0</v>
      </c>
      <c r="X179" s="188"/>
      <c r="Y179" s="109"/>
      <c r="Z179" s="200"/>
      <c r="AA179" s="200"/>
      <c r="AB179" s="200"/>
      <c r="AC179" s="7"/>
      <c r="AD179" s="111"/>
      <c r="AE179" s="88"/>
      <c r="AF179" s="88"/>
      <c r="AG179" s="9"/>
      <c r="AH179" s="9"/>
      <c r="AI179" s="9"/>
      <c r="AJ179" s="9"/>
      <c r="IV179" s="9"/>
    </row>
    <row r="180" spans="1:256" s="10" customFormat="1" ht="12.75" hidden="1">
      <c r="A180" s="192" t="s">
        <v>310</v>
      </c>
      <c r="B180" s="193" t="s">
        <v>311</v>
      </c>
      <c r="C180" s="194"/>
      <c r="D180" s="195"/>
      <c r="E180" s="177">
        <f>'[2]2011 tulud'!$E174/15.6466</f>
        <v>0</v>
      </c>
      <c r="F180" s="178">
        <f>'[2]2011 tulud'!F174/15.6466</f>
        <v>0</v>
      </c>
      <c r="G180" s="179">
        <f>'[2]2011 tulud'!G174/15.6466</f>
        <v>0</v>
      </c>
      <c r="H180" s="179">
        <f>'[2]2011 tulud'!H174/15.6466</f>
        <v>0</v>
      </c>
      <c r="I180" s="180">
        <f>'[2]2011 tulud'!I174/15.6466</f>
        <v>0</v>
      </c>
      <c r="J180" s="279"/>
      <c r="K180" s="164"/>
      <c r="L180" s="225"/>
      <c r="M180" s="225"/>
      <c r="N180" s="283">
        <f t="shared" si="47"/>
        <v>0</v>
      </c>
      <c r="O180" s="222"/>
      <c r="P180" s="164"/>
      <c r="Q180" s="225"/>
      <c r="R180" s="225"/>
      <c r="S180" s="165">
        <f t="shared" si="55"/>
        <v>0</v>
      </c>
      <c r="T180" s="224"/>
      <c r="U180" s="164"/>
      <c r="V180" s="164">
        <f t="shared" si="56"/>
        <v>0</v>
      </c>
      <c r="W180" s="187">
        <f t="shared" si="48"/>
        <v>0</v>
      </c>
      <c r="X180" s="188" t="e">
        <f t="shared" si="52"/>
        <v>#DIV/0!</v>
      </c>
      <c r="Y180" s="109"/>
      <c r="Z180" s="200"/>
      <c r="AA180" s="200"/>
      <c r="AB180" s="200"/>
      <c r="AC180" s="7"/>
      <c r="AD180" s="111"/>
      <c r="AE180" s="88"/>
      <c r="AF180" s="88"/>
      <c r="AG180" s="9"/>
      <c r="AH180" s="9"/>
      <c r="AI180" s="9"/>
      <c r="AJ180" s="9"/>
      <c r="IV180" s="9"/>
    </row>
    <row r="181" spans="1:256" s="429" customFormat="1" ht="12.75">
      <c r="A181" s="227" t="s">
        <v>312</v>
      </c>
      <c r="B181" s="281" t="s">
        <v>313</v>
      </c>
      <c r="C181" s="229">
        <v>300000</v>
      </c>
      <c r="D181" s="195">
        <v>350000</v>
      </c>
      <c r="E181" s="177">
        <f>'[2]2011 tulud'!$E175/15.6466</f>
        <v>38346.98912223742</v>
      </c>
      <c r="F181" s="178">
        <f>'[2]2011 tulud'!F175/15.6466</f>
        <v>482655.72073166055</v>
      </c>
      <c r="G181" s="179">
        <f>'[2]2011 tulud'!G175/15.6466</f>
        <v>35151.4066953843</v>
      </c>
      <c r="H181" s="179">
        <f>'[2]2011 tulud'!H175/15.6466</f>
        <v>37068.75615149617</v>
      </c>
      <c r="I181" s="180">
        <f>'[2]2011 tulud'!I175/15.6466</f>
        <v>39625.22209297867</v>
      </c>
      <c r="J181" s="279">
        <f>SUM(J182:J184)</f>
        <v>0</v>
      </c>
      <c r="K181" s="164">
        <f>SUM(K182:K184)</f>
        <v>0</v>
      </c>
      <c r="L181" s="428"/>
      <c r="M181" s="225"/>
      <c r="N181" s="283">
        <f t="shared" si="47"/>
        <v>39625.22209297867</v>
      </c>
      <c r="O181" s="222">
        <f aca="true" t="shared" si="57" ref="O181:V181">SUM(O182:O184)</f>
        <v>32396</v>
      </c>
      <c r="P181" s="164">
        <f>SUM(P182:P184)</f>
        <v>0</v>
      </c>
      <c r="Q181" s="164">
        <f>SUM(Q182:Q184)</f>
        <v>32396</v>
      </c>
      <c r="R181" s="225"/>
      <c r="S181" s="165">
        <f t="shared" si="57"/>
        <v>72021.22209297867</v>
      </c>
      <c r="T181" s="224">
        <f t="shared" si="57"/>
        <v>0</v>
      </c>
      <c r="U181" s="164">
        <f t="shared" si="57"/>
        <v>0</v>
      </c>
      <c r="V181" s="164">
        <f t="shared" si="57"/>
        <v>47321.22209297867</v>
      </c>
      <c r="W181" s="187">
        <f t="shared" si="48"/>
        <v>4473.8153975943715</v>
      </c>
      <c r="X181" s="188">
        <f t="shared" si="52"/>
        <v>91.66666666666666</v>
      </c>
      <c r="Y181" s="109"/>
      <c r="Z181" s="200"/>
      <c r="AA181" s="200"/>
      <c r="AB181" s="200"/>
      <c r="AC181" s="7"/>
      <c r="AD181" s="111"/>
      <c r="AE181" s="190"/>
      <c r="AF181" s="190"/>
      <c r="AG181" s="29"/>
      <c r="AH181" s="29"/>
      <c r="AI181" s="29"/>
      <c r="AJ181" s="29"/>
      <c r="IV181" s="29"/>
    </row>
    <row r="182" spans="1:36" ht="12.75">
      <c r="A182" s="192" t="s">
        <v>314</v>
      </c>
      <c r="B182" s="193" t="s">
        <v>315</v>
      </c>
      <c r="C182" s="194">
        <v>100000</v>
      </c>
      <c r="D182" s="195">
        <v>150000</v>
      </c>
      <c r="E182" s="177">
        <f>'[2]2011 tulud'!$E176/15.6466</f>
        <v>9586.747280559355</v>
      </c>
      <c r="F182" s="178">
        <f>'[2]2011 tulud'!F176/15.6466</f>
        <v>15977.912134265593</v>
      </c>
      <c r="G182" s="179">
        <f>'[2]2011 tulud'!G176/15.6466</f>
        <v>9586.747280559355</v>
      </c>
      <c r="H182" s="179">
        <f>'[2]2011 tulud'!H176/15.6466</f>
        <v>11504.096736671227</v>
      </c>
      <c r="I182" s="180">
        <f>'[2]2011 tulud'!I176/15.6466</f>
        <v>13421.446192783098</v>
      </c>
      <c r="J182" s="279">
        <f>K182+L182+M182</f>
        <v>0</v>
      </c>
      <c r="K182" s="164"/>
      <c r="L182" s="225"/>
      <c r="M182" s="225"/>
      <c r="N182" s="283">
        <f t="shared" si="47"/>
        <v>13421.446192783098</v>
      </c>
      <c r="O182" s="284">
        <f>P182+Q182+R182</f>
        <v>5200</v>
      </c>
      <c r="P182" s="164"/>
      <c r="Q182" s="225">
        <v>5200</v>
      </c>
      <c r="R182" s="225"/>
      <c r="S182" s="165">
        <f>N182+O182</f>
        <v>18621.4461927831</v>
      </c>
      <c r="T182" s="224"/>
      <c r="U182" s="164"/>
      <c r="V182" s="164">
        <f>S182+T182</f>
        <v>18621.4461927831</v>
      </c>
      <c r="W182" s="187">
        <f t="shared" si="48"/>
        <v>3834.698912223743</v>
      </c>
      <c r="X182" s="188"/>
      <c r="Y182" s="109"/>
      <c r="Z182" s="200"/>
      <c r="AA182" s="200"/>
      <c r="AB182" s="200"/>
      <c r="AC182" s="7"/>
      <c r="AD182" s="111"/>
      <c r="AE182" s="88"/>
      <c r="AF182" s="88"/>
      <c r="AG182" s="9"/>
      <c r="AH182" s="9"/>
      <c r="AI182" s="9"/>
      <c r="AJ182" s="9"/>
    </row>
    <row r="183" spans="1:36" ht="12.75">
      <c r="A183" s="192" t="s">
        <v>316</v>
      </c>
      <c r="B183" s="193" t="s">
        <v>317</v>
      </c>
      <c r="C183" s="194">
        <v>200000</v>
      </c>
      <c r="D183" s="195">
        <v>200000</v>
      </c>
      <c r="E183" s="177">
        <f>'[2]2011 tulud'!$E177/15.6466</f>
        <v>28760.241841678064</v>
      </c>
      <c r="F183" s="178">
        <f>'[2]2011 tulud'!F177/15.6466</f>
        <v>35151.4066953843</v>
      </c>
      <c r="G183" s="179">
        <f>'[2]2011 tulud'!G177/15.6466</f>
        <v>25564.659414824946</v>
      </c>
      <c r="H183" s="179">
        <f>'[2]2011 tulud'!H177/15.6466</f>
        <v>25564.659414824946</v>
      </c>
      <c r="I183" s="180">
        <f>'[2]2011 tulud'!I177/15.6466</f>
        <v>26203.77590019557</v>
      </c>
      <c r="J183" s="279"/>
      <c r="K183" s="164"/>
      <c r="L183" s="225"/>
      <c r="M183" s="225"/>
      <c r="N183" s="283">
        <f t="shared" si="47"/>
        <v>26203.77590019557</v>
      </c>
      <c r="O183" s="284">
        <f>P183+Q183+R183</f>
        <v>2496</v>
      </c>
      <c r="P183" s="164"/>
      <c r="Q183" s="225">
        <f>2556-60</f>
        <v>2496</v>
      </c>
      <c r="R183" s="225"/>
      <c r="S183" s="165">
        <f>N183+O183</f>
        <v>28699.77590019557</v>
      </c>
      <c r="T183" s="224"/>
      <c r="U183" s="164"/>
      <c r="V183" s="164">
        <f>S183+T183</f>
        <v>28699.77590019557</v>
      </c>
      <c r="W183" s="187">
        <f t="shared" si="48"/>
        <v>639.116485370625</v>
      </c>
      <c r="X183" s="188">
        <f>G183/E183*100</f>
        <v>88.8888888888889</v>
      </c>
      <c r="Y183" s="109"/>
      <c r="Z183" s="200"/>
      <c r="AA183" s="200"/>
      <c r="AB183" s="200"/>
      <c r="AC183" s="7"/>
      <c r="AD183" s="111"/>
      <c r="AE183" s="88"/>
      <c r="AF183" s="88"/>
      <c r="AG183" s="9"/>
      <c r="AH183" s="9"/>
      <c r="AI183" s="9"/>
      <c r="AJ183" s="9"/>
    </row>
    <row r="184" spans="1:36" ht="12.75">
      <c r="A184" s="192" t="s">
        <v>318</v>
      </c>
      <c r="B184" s="193" t="s">
        <v>319</v>
      </c>
      <c r="C184" s="194"/>
      <c r="D184" s="195"/>
      <c r="E184" s="177">
        <f>'[2]2011 tulud'!$E178/15.6466</f>
        <v>0</v>
      </c>
      <c r="F184" s="178">
        <f>'[2]2011 tulud'!F178/15.6466</f>
        <v>431526.40190201066</v>
      </c>
      <c r="G184" s="179">
        <f>'[2]2011 tulud'!G178/15.6466</f>
        <v>0</v>
      </c>
      <c r="H184" s="179">
        <f>'[2]2011 tulud'!H178/15.6466</f>
        <v>0</v>
      </c>
      <c r="I184" s="180">
        <f>'[2]2011 tulud'!I178/15.6466</f>
        <v>0</v>
      </c>
      <c r="J184" s="279"/>
      <c r="K184" s="164"/>
      <c r="L184" s="225"/>
      <c r="M184" s="225"/>
      <c r="N184" s="430">
        <f t="shared" si="47"/>
        <v>0</v>
      </c>
      <c r="O184" s="284">
        <f>P184+Q184+R184</f>
        <v>24700</v>
      </c>
      <c r="P184" s="164"/>
      <c r="Q184" s="225">
        <f>23503+1127+70</f>
        <v>24700</v>
      </c>
      <c r="R184" s="225"/>
      <c r="S184" s="165">
        <f>N184+O184</f>
        <v>24700</v>
      </c>
      <c r="T184" s="224"/>
      <c r="U184" s="164"/>
      <c r="V184" s="164"/>
      <c r="W184" s="187">
        <f t="shared" si="48"/>
        <v>0</v>
      </c>
      <c r="X184" s="188"/>
      <c r="Y184" s="109"/>
      <c r="Z184" s="200"/>
      <c r="AA184" s="200"/>
      <c r="AB184" s="200"/>
      <c r="AC184" s="7"/>
      <c r="AD184" s="111"/>
      <c r="AE184" s="88"/>
      <c r="AF184" s="88"/>
      <c r="AG184" s="9"/>
      <c r="AH184" s="9"/>
      <c r="AI184" s="9"/>
      <c r="AJ184" s="9"/>
    </row>
    <row r="185" spans="1:256" s="429" customFormat="1" ht="12.75">
      <c r="A185" s="431"/>
      <c r="B185" s="432" t="s">
        <v>320</v>
      </c>
      <c r="C185" s="433">
        <v>0</v>
      </c>
      <c r="D185" s="434">
        <v>0</v>
      </c>
      <c r="E185" s="256">
        <f>'[2]2011 tulud'!$E179/15.6466</f>
        <v>0</v>
      </c>
      <c r="F185" s="257">
        <f>'[2]2011 tulud'!F179/15.6466</f>
        <v>0</v>
      </c>
      <c r="G185" s="258">
        <f>'[2]2011 tulud'!G179/15.6466</f>
        <v>0</v>
      </c>
      <c r="H185" s="258">
        <f>'[2]2011 tulud'!H179/15.6466</f>
        <v>0</v>
      </c>
      <c r="I185" s="259">
        <f>'[2]2011 tulud'!I179/15.6466</f>
        <v>0</v>
      </c>
      <c r="J185" s="435">
        <f>SUM(J186:J187)</f>
        <v>0</v>
      </c>
      <c r="K185" s="436">
        <f>SUM(K186:K187)</f>
        <v>0</v>
      </c>
      <c r="L185" s="437"/>
      <c r="M185" s="437"/>
      <c r="N185" s="263">
        <f t="shared" si="47"/>
        <v>0</v>
      </c>
      <c r="O185" s="438">
        <f aca="true" t="shared" si="58" ref="O185:V185">SUM(O186:O187)</f>
        <v>1334748</v>
      </c>
      <c r="P185" s="436">
        <f>SUM(P186:P187)</f>
        <v>0</v>
      </c>
      <c r="Q185" s="436">
        <f>SUM(Q186:Q187)</f>
        <v>1334748</v>
      </c>
      <c r="R185" s="437"/>
      <c r="S185" s="439">
        <f t="shared" si="58"/>
        <v>1334748</v>
      </c>
      <c r="T185" s="344">
        <f t="shared" si="58"/>
        <v>0</v>
      </c>
      <c r="U185" s="185">
        <f t="shared" si="58"/>
        <v>0</v>
      </c>
      <c r="V185" s="185">
        <f t="shared" si="58"/>
        <v>1334748</v>
      </c>
      <c r="W185" s="187"/>
      <c r="X185" s="188"/>
      <c r="Y185" s="109"/>
      <c r="Z185" s="200"/>
      <c r="AA185" s="200"/>
      <c r="AB185" s="200"/>
      <c r="AC185" s="148"/>
      <c r="AD185" s="111"/>
      <c r="AE185" s="88"/>
      <c r="AF185" s="88"/>
      <c r="AG185" s="9"/>
      <c r="AH185" s="29"/>
      <c r="AI185" s="9"/>
      <c r="AJ185" s="29"/>
      <c r="IV185" s="29"/>
    </row>
    <row r="186" spans="1:256" s="191" customFormat="1" ht="11.25" hidden="1">
      <c r="A186" s="192" t="s">
        <v>321</v>
      </c>
      <c r="B186" s="193" t="s">
        <v>322</v>
      </c>
      <c r="C186" s="194"/>
      <c r="D186" s="195"/>
      <c r="E186" s="177">
        <f>'[2]2011 tulud'!$E180/15.6466</f>
        <v>0</v>
      </c>
      <c r="F186" s="178">
        <f>'[2]2011 tulud'!F180/15.6466</f>
        <v>0</v>
      </c>
      <c r="G186" s="179">
        <f>'[2]2011 tulud'!G180/15.6466</f>
        <v>0</v>
      </c>
      <c r="H186" s="179">
        <f>'[2]2011 tulud'!H180/15.6466</f>
        <v>0</v>
      </c>
      <c r="I186" s="180">
        <f>'[2]2011 tulud'!I180/15.6466</f>
        <v>0</v>
      </c>
      <c r="J186" s="222"/>
      <c r="K186" s="164"/>
      <c r="L186" s="225"/>
      <c r="M186" s="225"/>
      <c r="N186" s="283">
        <f t="shared" si="47"/>
        <v>0</v>
      </c>
      <c r="O186" s="222"/>
      <c r="P186" s="164"/>
      <c r="Q186" s="225"/>
      <c r="R186" s="225"/>
      <c r="S186" s="165">
        <f>N186+O186</f>
        <v>0</v>
      </c>
      <c r="T186" s="224"/>
      <c r="U186" s="164"/>
      <c r="V186" s="164"/>
      <c r="W186" s="187">
        <f>N186-G186</f>
        <v>0</v>
      </c>
      <c r="X186" s="188" t="e">
        <f>G186/E186*100</f>
        <v>#DIV/0!</v>
      </c>
      <c r="Y186" s="109"/>
      <c r="Z186" s="200"/>
      <c r="AA186" s="200"/>
      <c r="AB186" s="200"/>
      <c r="AC186" s="7"/>
      <c r="AD186" s="111"/>
      <c r="AE186" s="148"/>
      <c r="AF186" s="148"/>
      <c r="AG186" s="30"/>
      <c r="AH186" s="29"/>
      <c r="AI186" s="29"/>
      <c r="AJ186" s="29"/>
      <c r="IV186" s="190"/>
    </row>
    <row r="187" spans="1:36" ht="12">
      <c r="A187" s="192" t="s">
        <v>323</v>
      </c>
      <c r="B187" s="193" t="s">
        <v>324</v>
      </c>
      <c r="C187" s="194"/>
      <c r="D187" s="195"/>
      <c r="E187" s="177">
        <f>'[2]2011 tulud'!$E181/15.6466</f>
        <v>0</v>
      </c>
      <c r="F187" s="178">
        <f>'[2]2011 tulud'!F181/15.6466</f>
        <v>0</v>
      </c>
      <c r="G187" s="179">
        <f>'[2]2011 tulud'!G181/15.6466</f>
        <v>0</v>
      </c>
      <c r="H187" s="179">
        <f>'[2]2011 tulud'!H181/15.6466</f>
        <v>0</v>
      </c>
      <c r="I187" s="180">
        <f>'[2]2011 tulud'!I181/15.6466</f>
        <v>0</v>
      </c>
      <c r="J187" s="222"/>
      <c r="K187" s="164"/>
      <c r="L187" s="225"/>
      <c r="M187" s="225"/>
      <c r="N187" s="283">
        <f t="shared" si="47"/>
        <v>0</v>
      </c>
      <c r="O187" s="284">
        <f>P187+Q187+R187</f>
        <v>1334748</v>
      </c>
      <c r="P187" s="164"/>
      <c r="Q187" s="225">
        <v>1334748</v>
      </c>
      <c r="R187" s="225"/>
      <c r="S187" s="165">
        <f>N187+O187</f>
        <v>1334748</v>
      </c>
      <c r="T187" s="224"/>
      <c r="U187" s="164"/>
      <c r="V187" s="164">
        <f>S187+T187</f>
        <v>1334748</v>
      </c>
      <c r="W187" s="187"/>
      <c r="X187" s="188"/>
      <c r="Y187" s="109"/>
      <c r="Z187" s="200"/>
      <c r="AA187" s="200"/>
      <c r="AB187" s="200"/>
      <c r="AC187" s="7"/>
      <c r="AD187" s="111"/>
      <c r="AE187" s="88"/>
      <c r="AF187" s="88"/>
      <c r="AG187" s="9"/>
      <c r="AH187" s="9"/>
      <c r="AI187" s="9"/>
      <c r="AJ187" s="9"/>
    </row>
    <row r="188" spans="1:256" s="429" customFormat="1" ht="12" thickBot="1">
      <c r="A188" s="440" t="s">
        <v>325</v>
      </c>
      <c r="B188" s="441" t="s">
        <v>326</v>
      </c>
      <c r="C188" s="442"/>
      <c r="D188" s="443"/>
      <c r="E188" s="444">
        <f>'[2]2011 tulud'!$E182/15.6466</f>
        <v>0</v>
      </c>
      <c r="F188" s="445">
        <f>'[2]2011 tulud'!F182/15.6466</f>
        <v>42394.002530901285</v>
      </c>
      <c r="G188" s="446">
        <f>'[2]2011 tulud'!G182/15.6466</f>
        <v>0</v>
      </c>
      <c r="H188" s="446">
        <f>'[2]2011 tulud'!H182/15.6466</f>
        <v>41787.353162987485</v>
      </c>
      <c r="I188" s="447">
        <f>'[2]2011 tulud'!I182/15.6466</f>
        <v>0</v>
      </c>
      <c r="J188" s="448">
        <v>146029</v>
      </c>
      <c r="K188" s="449"/>
      <c r="L188" s="449"/>
      <c r="M188" s="450"/>
      <c r="N188" s="451">
        <f t="shared" si="47"/>
        <v>146029</v>
      </c>
      <c r="O188" s="448"/>
      <c r="P188" s="449"/>
      <c r="Q188" s="449"/>
      <c r="R188" s="450"/>
      <c r="S188" s="452">
        <f>N188+O188</f>
        <v>146029</v>
      </c>
      <c r="T188" s="453"/>
      <c r="U188" s="454"/>
      <c r="V188" s="454">
        <f>S188+T188</f>
        <v>146029</v>
      </c>
      <c r="W188" s="455"/>
      <c r="X188" s="456"/>
      <c r="Y188" s="109"/>
      <c r="Z188" s="200"/>
      <c r="AA188" s="200"/>
      <c r="AB188" s="200"/>
      <c r="AC188" s="148"/>
      <c r="AD188" s="111"/>
      <c r="AE188" s="190"/>
      <c r="AF188" s="190"/>
      <c r="AG188" s="29"/>
      <c r="AH188" s="29"/>
      <c r="AI188" s="29"/>
      <c r="AJ188" s="29"/>
      <c r="IV188" s="29"/>
    </row>
    <row r="189" spans="1:36" ht="12" thickBot="1">
      <c r="A189" s="457"/>
      <c r="B189" s="458" t="s">
        <v>327</v>
      </c>
      <c r="C189" s="459">
        <v>135974000</v>
      </c>
      <c r="D189" s="460">
        <v>164720500</v>
      </c>
      <c r="E189" s="461">
        <f>'[2]2011 tulud'!$E183/15.6466</f>
        <v>10454002.786547877</v>
      </c>
      <c r="F189" s="99">
        <f>'[2]2011 tulud'!F183/15.6466</f>
        <v>13758942.773509901</v>
      </c>
      <c r="G189" s="100">
        <f>'[2]2011 tulud'!G183/15.6466</f>
        <v>9649312.566308336</v>
      </c>
      <c r="H189" s="100">
        <f>'[2]2011 tulud'!H183/15.6466</f>
        <v>12558179.540603071</v>
      </c>
      <c r="I189" s="101">
        <f>'[2]2011 tulud'!I183/15.6466</f>
        <v>9220957.524318382</v>
      </c>
      <c r="J189" s="462">
        <f>J12+J185+J188</f>
        <v>3074731.198847262</v>
      </c>
      <c r="K189" s="462">
        <f>K188+K12+K185</f>
        <v>2889719</v>
      </c>
      <c r="L189" s="462">
        <f>L12+L185+L188</f>
        <v>14373.198847262249</v>
      </c>
      <c r="M189" s="463">
        <f>M188+M12+M185</f>
        <v>24610</v>
      </c>
      <c r="N189" s="463">
        <f>N12+N185+N188</f>
        <v>12295688.723165644</v>
      </c>
      <c r="O189" s="145">
        <f aca="true" t="shared" si="59" ref="O189:V189">O188+O12+O185</f>
        <v>2241269</v>
      </c>
      <c r="P189" s="141">
        <f>P188+P12+P185</f>
        <v>334584</v>
      </c>
      <c r="Q189" s="141">
        <f>Q12+Q185+Q188</f>
        <v>1815485</v>
      </c>
      <c r="R189" s="145">
        <f>R188+R12+R185</f>
        <v>91200</v>
      </c>
      <c r="S189" s="464">
        <f t="shared" si="59"/>
        <v>14536957.723165646</v>
      </c>
      <c r="T189" s="145">
        <f t="shared" si="59"/>
        <v>0</v>
      </c>
      <c r="U189" s="464">
        <f t="shared" si="59"/>
        <v>0</v>
      </c>
      <c r="V189" s="465">
        <f t="shared" si="59"/>
        <v>14388041.005087368</v>
      </c>
      <c r="W189" s="216">
        <f aca="true" t="shared" si="60" ref="W189:W197">N189-G189</f>
        <v>2646376.156857308</v>
      </c>
      <c r="X189" s="130">
        <f>G189/E189*100</f>
        <v>92.30256355704239</v>
      </c>
      <c r="Y189" s="466"/>
      <c r="Z189" s="200"/>
      <c r="AA189" s="200"/>
      <c r="AB189" s="200"/>
      <c r="AC189" s="148"/>
      <c r="AD189" s="111"/>
      <c r="AE189" s="7"/>
      <c r="AF189" s="7"/>
      <c r="AG189" s="5"/>
      <c r="AH189" s="9"/>
      <c r="AI189" s="9"/>
      <c r="AJ189" s="9"/>
    </row>
    <row r="190" spans="1:36" ht="9" customHeight="1" hidden="1" thickBot="1">
      <c r="A190" s="132"/>
      <c r="B190" s="467"/>
      <c r="C190" s="468"/>
      <c r="D190" s="469"/>
      <c r="E190" s="154">
        <f>'[2]2011 tulud'!$E184/15.6466</f>
        <v>0</v>
      </c>
      <c r="F190" s="155">
        <f>'[2]2011 tulud'!F184/15.6466</f>
        <v>0</v>
      </c>
      <c r="G190" s="156">
        <f>'[2]2011 tulud'!G184/15.6466</f>
        <v>0</v>
      </c>
      <c r="H190" s="156">
        <f>'[2]2011 tulud'!H184/15.6466</f>
        <v>0</v>
      </c>
      <c r="I190" s="157">
        <f>'[2]2011 tulud'!I184/15.6466</f>
        <v>0</v>
      </c>
      <c r="J190" s="470"/>
      <c r="K190" s="471"/>
      <c r="L190" s="472"/>
      <c r="M190" s="472"/>
      <c r="N190" s="473"/>
      <c r="O190" s="148"/>
      <c r="P190" s="471"/>
      <c r="Q190" s="472"/>
      <c r="R190" s="472"/>
      <c r="S190" s="474"/>
      <c r="T190" s="148"/>
      <c r="U190" s="148"/>
      <c r="V190" s="148"/>
      <c r="W190" s="187">
        <f t="shared" si="60"/>
        <v>0</v>
      </c>
      <c r="X190" s="130" t="e">
        <f>G190/E190*100</f>
        <v>#DIV/0!</v>
      </c>
      <c r="Y190" s="109"/>
      <c r="Z190" s="200"/>
      <c r="AA190" s="200"/>
      <c r="AB190" s="200"/>
      <c r="AC190" s="148"/>
      <c r="AD190" s="111"/>
      <c r="AE190" s="88"/>
      <c r="AF190" s="88"/>
      <c r="AG190" s="9"/>
      <c r="AH190" s="9"/>
      <c r="AI190" s="9"/>
      <c r="AJ190" s="9"/>
    </row>
    <row r="191" spans="1:36" ht="11.25" customHeight="1">
      <c r="A191" s="475"/>
      <c r="B191" s="476" t="s">
        <v>328</v>
      </c>
      <c r="C191" s="477">
        <v>135974000</v>
      </c>
      <c r="D191" s="478">
        <v>164720500</v>
      </c>
      <c r="E191" s="177">
        <f>'[2]2011 tulud'!$E185/15.6466</f>
        <v>9715784.898955684</v>
      </c>
      <c r="F191" s="178">
        <f>'[2]2011 tulud'!F185/15.6466</f>
        <v>10409860.60869454</v>
      </c>
      <c r="G191" s="179">
        <f>'[2]2011 tulud'!G185/15.6466</f>
        <v>8896437.564710544</v>
      </c>
      <c r="H191" s="179">
        <f>'[2]2011 tulud'!H185/15.6466</f>
        <v>9205653.880076183</v>
      </c>
      <c r="I191" s="180">
        <f>'[2]2011 tulud'!I185/15.6466</f>
        <v>8460477.03654468</v>
      </c>
      <c r="J191" s="360">
        <f>L191</f>
        <v>14373.198847262249</v>
      </c>
      <c r="K191" s="143"/>
      <c r="L191" s="479">
        <f>L189-L188</f>
        <v>14373.198847262249</v>
      </c>
      <c r="M191" s="479"/>
      <c r="N191" s="480">
        <f aca="true" t="shared" si="61" ref="N191:N196">I191+J191</f>
        <v>8474850.235391943</v>
      </c>
      <c r="O191" s="344">
        <f>O189-SUM(O192:O193)</f>
        <v>1815485</v>
      </c>
      <c r="P191" s="143"/>
      <c r="Q191" s="479">
        <f>Q189-Q188</f>
        <v>1815485</v>
      </c>
      <c r="R191" s="479"/>
      <c r="S191" s="185">
        <f>N191+O191</f>
        <v>10290335.235391943</v>
      </c>
      <c r="T191" s="481"/>
      <c r="U191" s="481"/>
      <c r="V191" s="481">
        <f>N189-V189</f>
        <v>-2092352.2819217239</v>
      </c>
      <c r="W191" s="187">
        <f t="shared" si="60"/>
        <v>-421587.32931860164</v>
      </c>
      <c r="X191" s="231">
        <f>G191/E191*100</f>
        <v>91.56684361823193</v>
      </c>
      <c r="Y191" s="109"/>
      <c r="Z191" s="200"/>
      <c r="AA191" s="200"/>
      <c r="AB191" s="200"/>
      <c r="AC191" s="148"/>
      <c r="AD191" s="111"/>
      <c r="AE191" s="88"/>
      <c r="AF191" s="7"/>
      <c r="AG191" s="9"/>
      <c r="AH191" s="9"/>
      <c r="AI191" s="9"/>
      <c r="AJ191" s="9"/>
    </row>
    <row r="192" spans="1:36" ht="11.25" customHeight="1">
      <c r="A192" s="227"/>
      <c r="B192" s="482" t="s">
        <v>30</v>
      </c>
      <c r="C192" s="483"/>
      <c r="D192" s="484"/>
      <c r="E192" s="177">
        <f>'[2]2011 tulud'!$E186/15.6466</f>
        <v>0</v>
      </c>
      <c r="F192" s="178">
        <f>'[2]2011 tulud'!F186/15.6466</f>
        <v>2626671.6730791354</v>
      </c>
      <c r="G192" s="179">
        <f>'[2]2011 tulud'!G186/15.6466</f>
        <v>0</v>
      </c>
      <c r="H192" s="179">
        <f>'[2]2011 tulud'!H186/15.6466</f>
        <v>2600264.402489998</v>
      </c>
      <c r="I192" s="180">
        <f>'[2]2011 tulud'!I186/15.6466</f>
        <v>0</v>
      </c>
      <c r="J192" s="360">
        <f>K189</f>
        <v>2889719</v>
      </c>
      <c r="K192" s="185">
        <f>K189</f>
        <v>2889719</v>
      </c>
      <c r="L192" s="359"/>
      <c r="M192" s="359"/>
      <c r="N192" s="343">
        <f t="shared" si="61"/>
        <v>2889719</v>
      </c>
      <c r="O192" s="344">
        <f>P85</f>
        <v>334584</v>
      </c>
      <c r="P192" s="185">
        <f>P189</f>
        <v>334584</v>
      </c>
      <c r="Q192" s="359"/>
      <c r="R192" s="359"/>
      <c r="S192" s="185">
        <f>N192+O192</f>
        <v>3224303</v>
      </c>
      <c r="T192" s="286"/>
      <c r="U192" s="286"/>
      <c r="V192" s="286"/>
      <c r="W192" s="187">
        <f t="shared" si="60"/>
        <v>2889719</v>
      </c>
      <c r="X192" s="188"/>
      <c r="Y192" s="109"/>
      <c r="Z192" s="200"/>
      <c r="AA192" s="200"/>
      <c r="AB192" s="200"/>
      <c r="AC192" s="148"/>
      <c r="AD192" s="111"/>
      <c r="AE192" s="88"/>
      <c r="AF192" s="88"/>
      <c r="AG192" s="9"/>
      <c r="AH192" s="9"/>
      <c r="AI192" s="9"/>
      <c r="AJ192" s="9"/>
    </row>
    <row r="193" spans="1:36" ht="11.25" customHeight="1">
      <c r="A193" s="485"/>
      <c r="B193" s="486" t="s">
        <v>329</v>
      </c>
      <c r="C193" s="487"/>
      <c r="D193" s="488"/>
      <c r="E193" s="177">
        <f>'[2]2011 tulud'!$E187/15.6466</f>
        <v>738217.8875921926</v>
      </c>
      <c r="F193" s="178">
        <f>'[2]2011 tulud'!F187/15.6466</f>
        <v>680016.4892053226</v>
      </c>
      <c r="G193" s="179">
        <f>'[2]2011 tulud'!G187/15.6466</f>
        <v>752875.0015977912</v>
      </c>
      <c r="H193" s="179">
        <f>'[2]2011 tulud'!H187/15.6466</f>
        <v>710473.9048739023</v>
      </c>
      <c r="I193" s="180">
        <f>'[2]2011 tulud'!I187/15.6466</f>
        <v>760480.4877737017</v>
      </c>
      <c r="J193" s="489">
        <f>M189</f>
        <v>24610</v>
      </c>
      <c r="K193" s="338"/>
      <c r="L193" s="341"/>
      <c r="M193" s="341">
        <f>M189</f>
        <v>24610</v>
      </c>
      <c r="N193" s="490">
        <f t="shared" si="61"/>
        <v>785090.4877737017</v>
      </c>
      <c r="O193" s="491">
        <f>R193</f>
        <v>91200</v>
      </c>
      <c r="P193" s="338"/>
      <c r="Q193" s="341"/>
      <c r="R193" s="341">
        <f>R189</f>
        <v>91200</v>
      </c>
      <c r="S193" s="164">
        <f>N193+O193</f>
        <v>876290.4877737017</v>
      </c>
      <c r="T193" s="286"/>
      <c r="U193" s="286"/>
      <c r="V193" s="286"/>
      <c r="W193" s="187">
        <f t="shared" si="60"/>
        <v>32215.486175910453</v>
      </c>
      <c r="X193" s="188">
        <f>G193/E193*100</f>
        <v>101.98547261614115</v>
      </c>
      <c r="Y193" s="109"/>
      <c r="Z193" s="200"/>
      <c r="AA193" s="200"/>
      <c r="AB193" s="200"/>
      <c r="AC193" s="148"/>
      <c r="AD193" s="111"/>
      <c r="AE193" s="88"/>
      <c r="AF193" s="88"/>
      <c r="AG193" s="9"/>
      <c r="AH193" s="9"/>
      <c r="AI193" s="492"/>
      <c r="AJ193" s="9"/>
    </row>
    <row r="194" spans="1:36" ht="11.25" customHeight="1" hidden="1">
      <c r="A194" s="227"/>
      <c r="B194" s="482" t="s">
        <v>330</v>
      </c>
      <c r="C194" s="483"/>
      <c r="D194" s="484"/>
      <c r="E194" s="177">
        <f>'[2]2011 tulud'!$E188/15.6466</f>
        <v>0</v>
      </c>
      <c r="F194" s="178">
        <f>'[2]2011 tulud'!F188/15.6466</f>
        <v>0</v>
      </c>
      <c r="G194" s="179">
        <f>'[2]2011 tulud'!G188/15.6466</f>
        <v>0</v>
      </c>
      <c r="H194" s="179">
        <f>'[2]2011 tulud'!H188/15.6466</f>
        <v>0</v>
      </c>
      <c r="I194" s="180">
        <f>'[2]2011 tulud'!I188/15.6466</f>
        <v>0</v>
      </c>
      <c r="J194" s="493">
        <f>J187</f>
        <v>0</v>
      </c>
      <c r="K194" s="494"/>
      <c r="L194" s="495"/>
      <c r="M194" s="495"/>
      <c r="N194" s="490">
        <f t="shared" si="61"/>
        <v>0</v>
      </c>
      <c r="O194" s="496"/>
      <c r="P194" s="494"/>
      <c r="Q194" s="495"/>
      <c r="R194" s="495"/>
      <c r="S194" s="497"/>
      <c r="T194" s="7"/>
      <c r="U194" s="7"/>
      <c r="V194" s="7"/>
      <c r="W194" s="216">
        <f t="shared" si="60"/>
        <v>0</v>
      </c>
      <c r="X194" s="130" t="e">
        <f>G194/E194*100</f>
        <v>#DIV/0!</v>
      </c>
      <c r="Y194" s="109"/>
      <c r="Z194" s="200"/>
      <c r="AA194" s="200"/>
      <c r="AB194" s="200"/>
      <c r="AC194" s="148"/>
      <c r="AD194" s="111"/>
      <c r="AE194" s="6"/>
      <c r="AF194" s="7"/>
      <c r="AG194" s="5"/>
      <c r="AH194" s="9"/>
      <c r="AI194" s="9"/>
      <c r="AJ194" s="9"/>
    </row>
    <row r="195" spans="1:36" ht="12.75" customHeight="1" hidden="1">
      <c r="A195" s="227"/>
      <c r="B195" s="482" t="s">
        <v>331</v>
      </c>
      <c r="C195" s="483"/>
      <c r="D195" s="484"/>
      <c r="E195" s="177">
        <f>'[2]2011 tulud'!$E189/15.6466</f>
        <v>0</v>
      </c>
      <c r="F195" s="178">
        <f>'[2]2011 tulud'!F189/15.6466</f>
        <v>0</v>
      </c>
      <c r="G195" s="179">
        <f>'[2]2011 tulud'!G189/15.6466</f>
        <v>0</v>
      </c>
      <c r="H195" s="179">
        <f>'[2]2011 tulud'!H189/15.6466</f>
        <v>0</v>
      </c>
      <c r="I195" s="180">
        <f>'[2]2011 tulud'!I189/15.6466</f>
        <v>0</v>
      </c>
      <c r="J195" s="360">
        <f>J186</f>
        <v>0</v>
      </c>
      <c r="K195" s="482"/>
      <c r="L195" s="281"/>
      <c r="M195" s="281"/>
      <c r="N195" s="490">
        <f t="shared" si="61"/>
        <v>0</v>
      </c>
      <c r="O195" s="344"/>
      <c r="P195" s="482"/>
      <c r="Q195" s="281"/>
      <c r="R195" s="281"/>
      <c r="S195" s="185">
        <f>N195+O195</f>
        <v>0</v>
      </c>
      <c r="T195" s="7"/>
      <c r="U195" s="7"/>
      <c r="V195" s="7"/>
      <c r="W195" s="187">
        <f t="shared" si="60"/>
        <v>0</v>
      </c>
      <c r="X195" s="130" t="e">
        <f>G195/E195*100</f>
        <v>#DIV/0!</v>
      </c>
      <c r="Y195" s="109"/>
      <c r="Z195" s="200"/>
      <c r="AA195" s="200"/>
      <c r="AB195" s="200"/>
      <c r="AC195" s="148"/>
      <c r="AD195" s="111"/>
      <c r="AE195" s="88"/>
      <c r="AF195" s="88"/>
      <c r="AG195" s="9"/>
      <c r="AH195" s="9"/>
      <c r="AI195" s="9"/>
      <c r="AJ195" s="9"/>
    </row>
    <row r="196" spans="1:36" ht="11.25" customHeight="1" thickBot="1">
      <c r="A196" s="498"/>
      <c r="B196" s="499" t="s">
        <v>332</v>
      </c>
      <c r="C196" s="500">
        <v>135974000</v>
      </c>
      <c r="D196" s="501">
        <v>164720500</v>
      </c>
      <c r="E196" s="502">
        <f>'[2]2011 tulud'!$E190/15.6466</f>
        <v>0</v>
      </c>
      <c r="F196" s="503">
        <f>'[2]2011 tulud'!F190/15.6466</f>
        <v>42394.002530901285</v>
      </c>
      <c r="G196" s="504">
        <f>'[2]2011 tulud'!G190/15.6466</f>
        <v>0</v>
      </c>
      <c r="H196" s="504">
        <f>'[2]2011 tulud'!H190/15.6466</f>
        <v>41787.353162987485</v>
      </c>
      <c r="I196" s="505">
        <f>'[2]2011 tulud'!I190/15.6466</f>
        <v>0</v>
      </c>
      <c r="J196" s="360">
        <f>J188</f>
        <v>146029</v>
      </c>
      <c r="K196" s="499"/>
      <c r="L196" s="506"/>
      <c r="M196" s="507"/>
      <c r="N196" s="490">
        <f t="shared" si="61"/>
        <v>146029</v>
      </c>
      <c r="O196" s="508"/>
      <c r="P196" s="499"/>
      <c r="Q196" s="506"/>
      <c r="R196" s="507"/>
      <c r="S196" s="509">
        <f>N196+O196</f>
        <v>146029</v>
      </c>
      <c r="T196" s="7"/>
      <c r="U196" s="7"/>
      <c r="V196" s="7"/>
      <c r="W196" s="187">
        <f t="shared" si="60"/>
        <v>146029</v>
      </c>
      <c r="X196" s="130"/>
      <c r="Y196" s="109"/>
      <c r="Z196" s="200"/>
      <c r="AA196" s="200"/>
      <c r="AB196" s="200"/>
      <c r="AC196" s="148"/>
      <c r="AD196" s="111"/>
      <c r="AE196" s="88"/>
      <c r="AF196" s="8"/>
      <c r="AG196" s="9"/>
      <c r="AH196" s="9"/>
      <c r="AI196" s="9"/>
      <c r="AJ196" s="9"/>
    </row>
    <row r="197" spans="1:36" ht="12.75" customHeight="1" thickBot="1">
      <c r="A197" s="457"/>
      <c r="B197" s="510" t="s">
        <v>333</v>
      </c>
      <c r="C197" s="511"/>
      <c r="D197" s="512" t="s">
        <v>334</v>
      </c>
      <c r="E197" s="136">
        <f>'[2]2011 tulud'!$E191/15.6466</f>
        <v>10454002.786547877</v>
      </c>
      <c r="F197" s="137">
        <f>'[2]2011 tulud'!F191/15.6466</f>
        <v>13758942.773509901</v>
      </c>
      <c r="G197" s="138">
        <f>'[2]2011 tulud'!G191/15.6466</f>
        <v>9649312.566308336</v>
      </c>
      <c r="H197" s="138">
        <f>'[2]2011 tulud'!H191/15.6466</f>
        <v>12558179.540603071</v>
      </c>
      <c r="I197" s="139">
        <f>'[2]2011 tulud'!I191/15.6466</f>
        <v>9220957.524318382</v>
      </c>
      <c r="J197" s="513">
        <f aca="true" t="shared" si="62" ref="J197:R197">SUM(J191:J196)</f>
        <v>3074731.198847262</v>
      </c>
      <c r="K197" s="514">
        <f t="shared" si="62"/>
        <v>2889719</v>
      </c>
      <c r="L197" s="514">
        <f t="shared" si="62"/>
        <v>14373.198847262249</v>
      </c>
      <c r="M197" s="514">
        <f t="shared" si="62"/>
        <v>24610</v>
      </c>
      <c r="N197" s="515">
        <f t="shared" si="62"/>
        <v>12295688.723165644</v>
      </c>
      <c r="O197" s="514">
        <f>SUM(O191:O196)</f>
        <v>2241269</v>
      </c>
      <c r="P197" s="514">
        <f t="shared" si="62"/>
        <v>334584</v>
      </c>
      <c r="Q197" s="514">
        <f t="shared" si="62"/>
        <v>1815485</v>
      </c>
      <c r="R197" s="514">
        <f t="shared" si="62"/>
        <v>91200</v>
      </c>
      <c r="S197" s="514">
        <f>SUM(S191:S196)</f>
        <v>14536957.723165644</v>
      </c>
      <c r="T197" s="516"/>
      <c r="U197" s="516"/>
      <c r="V197" s="516"/>
      <c r="W197" s="455">
        <f t="shared" si="60"/>
        <v>2646376.156857308</v>
      </c>
      <c r="X197" s="130">
        <f>G197/E197*100</f>
        <v>92.30256355704239</v>
      </c>
      <c r="Y197" s="200">
        <f>S197-S187</f>
        <v>13202209.723165644</v>
      </c>
      <c r="Z197" s="200"/>
      <c r="AA197" s="200"/>
      <c r="AB197" s="200"/>
      <c r="AC197" s="148"/>
      <c r="AD197" s="111"/>
      <c r="AE197" s="88"/>
      <c r="AF197" s="88"/>
      <c r="AG197" s="9"/>
      <c r="AH197" s="9"/>
      <c r="AI197" s="9"/>
      <c r="AJ197" s="9"/>
    </row>
    <row r="198" spans="1:36" ht="12.75" customHeight="1" hidden="1">
      <c r="A198" s="517"/>
      <c r="B198" s="493"/>
      <c r="C198" s="518"/>
      <c r="D198" s="519">
        <v>8431000</v>
      </c>
      <c r="E198" s="520"/>
      <c r="F198" s="176"/>
      <c r="G198" s="156"/>
      <c r="H198" s="156"/>
      <c r="I198" s="157"/>
      <c r="J198" s="493"/>
      <c r="K198" s="497"/>
      <c r="L198" s="497"/>
      <c r="M198" s="497"/>
      <c r="N198" s="521"/>
      <c r="O198" s="522"/>
      <c r="P198" s="497"/>
      <c r="Q198" s="497"/>
      <c r="R198" s="497"/>
      <c r="S198" s="523">
        <f>S189-S197</f>
        <v>0</v>
      </c>
      <c r="T198" s="497"/>
      <c r="U198" s="497"/>
      <c r="V198" s="497"/>
      <c r="W198" s="216">
        <f aca="true" t="shared" si="63" ref="W198:W203">G198-G198</f>
        <v>0</v>
      </c>
      <c r="X198" s="231"/>
      <c r="Y198" s="109"/>
      <c r="Z198" s="200"/>
      <c r="AA198" s="200"/>
      <c r="AB198" s="200"/>
      <c r="AC198" s="148"/>
      <c r="AD198" s="111"/>
      <c r="AE198" s="88"/>
      <c r="AF198" s="88"/>
      <c r="AG198" s="9"/>
      <c r="AH198" s="9"/>
      <c r="AI198" s="9"/>
      <c r="AJ198" s="9"/>
    </row>
    <row r="199" spans="1:36" ht="11.25" customHeight="1" hidden="1">
      <c r="A199" s="517"/>
      <c r="B199" s="360" t="s">
        <v>335</v>
      </c>
      <c r="C199" s="184"/>
      <c r="D199" s="524">
        <v>156289500</v>
      </c>
      <c r="E199" s="525">
        <f>'[2]2011 tulud'!$E193/15.6466</f>
        <v>738217.8875921926</v>
      </c>
      <c r="F199" s="230"/>
      <c r="G199" s="179">
        <f>'[2]2011 tulud'!G193/15.6466</f>
        <v>752875.0015977912</v>
      </c>
      <c r="H199" s="179">
        <f>'[2]2011 tulud'!H193/15.6466</f>
        <v>3353139.4040877894</v>
      </c>
      <c r="I199" s="180">
        <f>'[2]2011 tulud'!I193/15.6466</f>
        <v>760480.4877737017</v>
      </c>
      <c r="J199" s="360">
        <f>K189+J185</f>
        <v>2889719</v>
      </c>
      <c r="K199" s="185"/>
      <c r="L199" s="185"/>
      <c r="M199" s="185"/>
      <c r="N199" s="343">
        <f>I199+J199</f>
        <v>3650199.4877737015</v>
      </c>
      <c r="O199" s="224"/>
      <c r="P199" s="185"/>
      <c r="Q199" s="185"/>
      <c r="R199" s="185"/>
      <c r="S199" s="185"/>
      <c r="T199" s="185"/>
      <c r="U199" s="185"/>
      <c r="V199" s="185"/>
      <c r="W199" s="187">
        <f t="shared" si="63"/>
        <v>0</v>
      </c>
      <c r="X199" s="188"/>
      <c r="Y199" s="109"/>
      <c r="Z199" s="200"/>
      <c r="AA199" s="200"/>
      <c r="AB199" s="200"/>
      <c r="AC199" s="148"/>
      <c r="AD199" s="111"/>
      <c r="AE199" s="88"/>
      <c r="AF199" s="88"/>
      <c r="AG199" s="9"/>
      <c r="AH199" s="9"/>
      <c r="AI199" s="9"/>
      <c r="AJ199" s="9"/>
    </row>
    <row r="200" spans="1:36" ht="11.25" hidden="1">
      <c r="A200" s="517"/>
      <c r="B200" s="360" t="s">
        <v>336</v>
      </c>
      <c r="C200" s="184"/>
      <c r="D200" s="524">
        <v>164720500</v>
      </c>
      <c r="E200" s="525">
        <f>'[2]2011 tulud'!$E194/15.6466</f>
        <v>9715784.898955684</v>
      </c>
      <c r="F200" s="230"/>
      <c r="G200" s="179">
        <f>'[2]2011 tulud'!G194/15.6466</f>
        <v>8896437.564710544</v>
      </c>
      <c r="H200" s="179">
        <f>'[2]2011 tulud'!H194/15.6466</f>
        <v>9205040.136515282</v>
      </c>
      <c r="I200" s="180">
        <f>'[2]2011 tulud'!I194/15.6466</f>
        <v>8460477.03654468</v>
      </c>
      <c r="J200" s="360">
        <f>J13+J27+J148+J147+J188</f>
        <v>185012.19884726225</v>
      </c>
      <c r="K200" s="185"/>
      <c r="L200" s="185"/>
      <c r="M200" s="185"/>
      <c r="N200" s="343">
        <f>I200+J200</f>
        <v>8645489.235391943</v>
      </c>
      <c r="O200" s="224"/>
      <c r="P200" s="185"/>
      <c r="Q200" s="185"/>
      <c r="R200" s="185"/>
      <c r="S200" s="185"/>
      <c r="T200" s="185"/>
      <c r="U200" s="185"/>
      <c r="V200" s="185"/>
      <c r="W200" s="187">
        <f t="shared" si="63"/>
        <v>0</v>
      </c>
      <c r="X200" s="188"/>
      <c r="Y200" s="109"/>
      <c r="Z200" s="200"/>
      <c r="AA200" s="200"/>
      <c r="AB200" s="200"/>
      <c r="AC200" s="148"/>
      <c r="AD200" s="111"/>
      <c r="AE200" s="7"/>
      <c r="AF200" s="88"/>
      <c r="AG200" s="9"/>
      <c r="AH200" s="9"/>
      <c r="AI200" s="9"/>
      <c r="AJ200" s="9"/>
    </row>
    <row r="201" spans="1:41" ht="11.25" hidden="1">
      <c r="A201" s="517"/>
      <c r="B201" s="360" t="s">
        <v>337</v>
      </c>
      <c r="C201" s="184"/>
      <c r="D201" s="524"/>
      <c r="E201" s="525">
        <f>'[2]2011 tulud'!$E195/15.6466</f>
        <v>10454002.786547877</v>
      </c>
      <c r="F201" s="230"/>
      <c r="G201" s="179">
        <f>'[2]2011 tulud'!G195/15.6466</f>
        <v>9649312.566308336</v>
      </c>
      <c r="H201" s="179">
        <f>'[2]2011 tulud'!H195/15.6466</f>
        <v>12558179.540603071</v>
      </c>
      <c r="I201" s="180">
        <f>'[2]2011 tulud'!I195/15.6466</f>
        <v>9220957.524318382</v>
      </c>
      <c r="J201" s="360">
        <f>SUM(J199:J200)</f>
        <v>3074731.198847262</v>
      </c>
      <c r="K201" s="185"/>
      <c r="L201" s="185"/>
      <c r="M201" s="185"/>
      <c r="N201" s="343">
        <f>SUM(N199:N200)</f>
        <v>12295688.723165644</v>
      </c>
      <c r="O201" s="344"/>
      <c r="P201" s="185"/>
      <c r="Q201" s="185"/>
      <c r="R201" s="185"/>
      <c r="S201" s="185"/>
      <c r="T201" s="185"/>
      <c r="U201" s="185"/>
      <c r="V201" s="185"/>
      <c r="W201" s="187">
        <f t="shared" si="63"/>
        <v>0</v>
      </c>
      <c r="X201" s="188"/>
      <c r="Y201" s="109"/>
      <c r="Z201" s="200"/>
      <c r="AA201" s="200"/>
      <c r="AB201" s="200"/>
      <c r="AC201" s="148"/>
      <c r="AD201" s="111"/>
      <c r="AE201" s="88"/>
      <c r="AF201" s="88"/>
      <c r="AG201" s="9"/>
      <c r="AH201" s="9"/>
      <c r="AI201" s="9"/>
      <c r="AJ201" s="9"/>
      <c r="AO201" s="526"/>
    </row>
    <row r="202" spans="1:36" ht="11.25" hidden="1">
      <c r="A202" s="517"/>
      <c r="B202" s="360" t="s">
        <v>338</v>
      </c>
      <c r="C202" s="184"/>
      <c r="D202" s="524">
        <v>164720500</v>
      </c>
      <c r="E202" s="525">
        <f>'[2]2011 tulud'!$E196/15.6466</f>
        <v>0</v>
      </c>
      <c r="F202" s="230"/>
      <c r="G202" s="179">
        <f>'[2]2011 tulud'!G196/15.6466</f>
        <v>0</v>
      </c>
      <c r="H202" s="179">
        <f>'[2]2011 tulud'!H196/15.6466</f>
        <v>0</v>
      </c>
      <c r="I202" s="180">
        <f>'[2]2011 tulud'!I196/15.6466</f>
        <v>0</v>
      </c>
      <c r="J202" s="360"/>
      <c r="K202" s="185"/>
      <c r="L202" s="185"/>
      <c r="M202" s="185"/>
      <c r="N202" s="343">
        <f>SUM(I202:K202)</f>
        <v>0</v>
      </c>
      <c r="O202" s="527"/>
      <c r="P202" s="185"/>
      <c r="Q202" s="185"/>
      <c r="R202" s="185"/>
      <c r="S202" s="185"/>
      <c r="T202" s="185"/>
      <c r="U202" s="185"/>
      <c r="V202" s="185"/>
      <c r="W202" s="187">
        <f t="shared" si="63"/>
        <v>0</v>
      </c>
      <c r="X202" s="188" t="e">
        <f>G202/F202*100</f>
        <v>#DIV/0!</v>
      </c>
      <c r="Y202" s="109"/>
      <c r="Z202" s="200"/>
      <c r="AA202" s="200"/>
      <c r="AB202" s="200"/>
      <c r="AC202" s="148"/>
      <c r="AD202" s="111"/>
      <c r="AE202" s="88"/>
      <c r="AF202" s="88"/>
      <c r="AG202" s="9"/>
      <c r="AH202" s="9"/>
      <c r="AI202" s="9"/>
      <c r="AJ202" s="9"/>
    </row>
    <row r="203" spans="1:36" ht="12" hidden="1" thickBot="1">
      <c r="A203" s="517"/>
      <c r="B203" s="528" t="s">
        <v>339</v>
      </c>
      <c r="C203" s="529"/>
      <c r="D203" s="530"/>
      <c r="E203" s="525">
        <f>'[2]2011 tulud'!$E197/15.6466</f>
        <v>10454002.786547877</v>
      </c>
      <c r="F203" s="531"/>
      <c r="G203" s="179">
        <f>'[2]2011 tulud'!G197/15.6466</f>
        <v>9649312.566308336</v>
      </c>
      <c r="H203" s="179">
        <f>'[2]2011 tulud'!H197/15.6466</f>
        <v>12558179.540603071</v>
      </c>
      <c r="I203" s="180">
        <f>'[2]2011 tulud'!I197/15.6466</f>
        <v>9220957.524318382</v>
      </c>
      <c r="J203" s="424">
        <f>J201+J202</f>
        <v>3074731.198847262</v>
      </c>
      <c r="K203" s="357">
        <f>K201+K202</f>
        <v>0</v>
      </c>
      <c r="L203" s="357"/>
      <c r="M203" s="357"/>
      <c r="N203" s="425">
        <f>N201+N202</f>
        <v>12295688.723165644</v>
      </c>
      <c r="O203" s="356">
        <f>O201+O202</f>
        <v>0</v>
      </c>
      <c r="P203" s="357">
        <f>P201+P202</f>
        <v>0</v>
      </c>
      <c r="Q203" s="357"/>
      <c r="R203" s="357"/>
      <c r="S203" s="357">
        <f>S201+S202</f>
        <v>0</v>
      </c>
      <c r="T203" s="185"/>
      <c r="U203" s="185"/>
      <c r="V203" s="185"/>
      <c r="W203" s="187">
        <f t="shared" si="63"/>
        <v>0</v>
      </c>
      <c r="X203" s="188" t="e">
        <f>G203/F203*100</f>
        <v>#DIV/0!</v>
      </c>
      <c r="Y203" s="109"/>
      <c r="Z203" s="200"/>
      <c r="AA203" s="200"/>
      <c r="AB203" s="200"/>
      <c r="AC203" s="148"/>
      <c r="AD203" s="111"/>
      <c r="AE203" s="7"/>
      <c r="AF203" s="88"/>
      <c r="AG203" s="9"/>
      <c r="AH203" s="9"/>
      <c r="AI203" s="9"/>
      <c r="AJ203" s="9"/>
    </row>
    <row r="204" spans="1:36" ht="11.25" hidden="1">
      <c r="A204" s="517"/>
      <c r="B204" s="88"/>
      <c r="C204" s="7"/>
      <c r="D204" s="532"/>
      <c r="E204" s="525">
        <f>'[2]2011 tulud'!$E198/15.6466</f>
        <v>0</v>
      </c>
      <c r="F204" s="532"/>
      <c r="G204" s="179">
        <f>'[2]2011 tulud'!G198/15.6466</f>
        <v>0</v>
      </c>
      <c r="H204" s="179">
        <f>'[2]2011 tulud'!H198/15.6466</f>
        <v>0</v>
      </c>
      <c r="I204" s="180">
        <f>'[2]2011 tulud'!I198/15.6466</f>
        <v>0</v>
      </c>
      <c r="J204" s="360"/>
      <c r="K204" s="185"/>
      <c r="L204" s="185"/>
      <c r="M204" s="185"/>
      <c r="N204" s="343"/>
      <c r="O204" s="527"/>
      <c r="P204" s="185"/>
      <c r="Q204" s="185"/>
      <c r="R204" s="185"/>
      <c r="S204" s="185"/>
      <c r="T204" s="185"/>
      <c r="U204" s="185"/>
      <c r="V204" s="185"/>
      <c r="W204" s="187"/>
      <c r="X204" s="188" t="e">
        <f>G204/F204*100</f>
        <v>#DIV/0!</v>
      </c>
      <c r="Y204" s="109"/>
      <c r="Z204" s="200"/>
      <c r="AA204" s="200"/>
      <c r="AB204" s="200"/>
      <c r="AC204" s="148"/>
      <c r="AD204" s="7"/>
      <c r="AE204" s="88"/>
      <c r="AF204" s="88"/>
      <c r="AG204" s="9"/>
      <c r="AH204" s="9"/>
      <c r="AI204" s="9"/>
      <c r="AJ204" s="9"/>
    </row>
    <row r="205" spans="1:36" ht="12" hidden="1" thickBot="1">
      <c r="A205" s="146" t="s">
        <v>340</v>
      </c>
      <c r="B205" s="141" t="s">
        <v>341</v>
      </c>
      <c r="C205" s="533"/>
      <c r="D205" s="534"/>
      <c r="E205" s="535">
        <f>'[2]2011 tulud'!$E199/15.6466</f>
        <v>6272401.671928726</v>
      </c>
      <c r="F205" s="534"/>
      <c r="G205" s="504">
        <f>'[2]2011 tulud'!G199/15.6466</f>
        <v>5789587.5397850005</v>
      </c>
      <c r="H205" s="504">
        <f>'[2]2011 tulud'!H199/15.6466</f>
        <v>7534907.7243618425</v>
      </c>
      <c r="I205" s="505">
        <f>'[2]2011 tulud'!I199/15.6466</f>
        <v>0</v>
      </c>
      <c r="J205" s="536"/>
      <c r="K205" s="537"/>
      <c r="L205" s="537"/>
      <c r="M205" s="537"/>
      <c r="N205" s="141">
        <f>N201*0.6</f>
        <v>7377413.233899387</v>
      </c>
      <c r="O205" s="453"/>
      <c r="P205" s="454"/>
      <c r="Q205" s="454"/>
      <c r="R205" s="454"/>
      <c r="S205" s="454"/>
      <c r="T205" s="454"/>
      <c r="U205" s="454"/>
      <c r="V205" s="454"/>
      <c r="W205" s="455">
        <f>G205-G205</f>
        <v>0</v>
      </c>
      <c r="X205" s="456"/>
      <c r="Y205" s="109"/>
      <c r="Z205" s="200"/>
      <c r="AA205" s="200"/>
      <c r="AB205" s="200"/>
      <c r="AC205" s="148"/>
      <c r="AD205" s="148"/>
      <c r="AE205" s="88"/>
      <c r="AF205" s="88"/>
      <c r="AG205" s="9"/>
      <c r="AH205" s="9"/>
      <c r="AI205" s="9"/>
      <c r="AJ205" s="9"/>
    </row>
    <row r="206" spans="1:36" ht="11.25" hidden="1">
      <c r="A206" s="538"/>
      <c r="B206" s="29"/>
      <c r="C206" s="30"/>
      <c r="G206" s="30"/>
      <c r="H206" s="30"/>
      <c r="I206" s="30"/>
      <c r="K206" s="148"/>
      <c r="L206" s="148"/>
      <c r="M206" s="148"/>
      <c r="N206" s="148"/>
      <c r="P206" s="30"/>
      <c r="Q206" s="30"/>
      <c r="R206" s="30"/>
      <c r="S206" s="30">
        <f>N189+O189</f>
        <v>14536957.723165644</v>
      </c>
      <c r="T206" s="30"/>
      <c r="U206" s="30"/>
      <c r="V206" s="30"/>
      <c r="W206" s="30"/>
      <c r="X206" s="30"/>
      <c r="Y206" s="200">
        <f>S206-S187</f>
        <v>13202209.723165644</v>
      </c>
      <c r="Z206" s="30"/>
      <c r="AA206" s="30"/>
      <c r="AB206" s="30"/>
      <c r="AC206" s="148"/>
      <c r="AD206" s="88"/>
      <c r="AE206" s="88"/>
      <c r="AF206" s="88"/>
      <c r="AG206" s="9"/>
      <c r="AH206" s="9"/>
      <c r="AI206" s="9"/>
      <c r="AJ206" s="9"/>
    </row>
    <row r="207" spans="1:39" ht="11.25">
      <c r="A207" s="539"/>
      <c r="I207" s="30"/>
      <c r="J207" s="540"/>
      <c r="K207" s="311"/>
      <c r="L207" s="311"/>
      <c r="M207" s="311"/>
      <c r="N207" s="311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148"/>
      <c r="AD207" s="88"/>
      <c r="AH207" s="88"/>
      <c r="AJ207" s="9"/>
      <c r="AK207" s="9"/>
      <c r="AL207" s="9"/>
      <c r="AM207" s="9"/>
    </row>
    <row r="208" spans="1:18" ht="11.25">
      <c r="A208" s="539"/>
      <c r="G208" s="541"/>
      <c r="H208" s="541"/>
      <c r="I208" s="542"/>
      <c r="J208" s="543"/>
      <c r="K208" s="544"/>
      <c r="L208" s="544"/>
      <c r="M208" s="544"/>
      <c r="N208" s="544"/>
      <c r="O208" s="383"/>
      <c r="P208" s="545"/>
      <c r="Q208" s="545"/>
      <c r="R208" s="545"/>
    </row>
    <row r="209" spans="2:255" ht="11.25">
      <c r="B209" s="29"/>
      <c r="C209" s="30"/>
      <c r="D209" s="30"/>
      <c r="E209" s="30"/>
      <c r="F209" s="30"/>
      <c r="G209" s="545"/>
      <c r="H209" s="545"/>
      <c r="I209" s="383"/>
      <c r="J209" s="542"/>
      <c r="K209" s="542"/>
      <c r="L209" s="542"/>
      <c r="M209" s="542"/>
      <c r="N209" s="542"/>
      <c r="O209" s="383"/>
      <c r="P209" s="383"/>
      <c r="Q209" s="383"/>
      <c r="R209" s="383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</row>
    <row r="210" spans="7:255" ht="11.25">
      <c r="G210" s="541"/>
      <c r="H210" s="541"/>
      <c r="I210" s="383"/>
      <c r="J210" s="543"/>
      <c r="K210" s="542"/>
      <c r="L210" s="542"/>
      <c r="M210" s="542"/>
      <c r="N210" s="542"/>
      <c r="O210" s="383"/>
      <c r="P210" s="383"/>
      <c r="Q210" s="383"/>
      <c r="R210" s="383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</row>
    <row r="211" spans="4:255" ht="11.25">
      <c r="D211" s="526"/>
      <c r="E211" s="526"/>
      <c r="F211" s="526"/>
      <c r="G211" s="541"/>
      <c r="H211" s="541"/>
      <c r="I211" s="383"/>
      <c r="J211" s="543"/>
      <c r="K211" s="543"/>
      <c r="L211" s="543"/>
      <c r="M211" s="543"/>
      <c r="N211" s="543"/>
      <c r="O211" s="383"/>
      <c r="P211" s="383"/>
      <c r="Q211" s="383"/>
      <c r="R211" s="383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</row>
    <row r="212" spans="7:255" ht="11.25">
      <c r="G212" s="541"/>
      <c r="H212" s="541"/>
      <c r="I212" s="383"/>
      <c r="J212" s="541"/>
      <c r="K212" s="383"/>
      <c r="L212" s="383"/>
      <c r="M212" s="383"/>
      <c r="N212" s="541"/>
      <c r="O212" s="383"/>
      <c r="P212" s="383"/>
      <c r="Q212" s="383"/>
      <c r="R212" s="383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</row>
    <row r="213" spans="7:255" ht="11.25"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  <c r="R213" s="383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</row>
    <row r="214" spans="7:255" ht="11.25"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</row>
    <row r="215" spans="7:255" ht="10.5" customHeight="1">
      <c r="G215" s="383"/>
      <c r="H215" s="383"/>
      <c r="I215" s="383"/>
      <c r="J215" s="383"/>
      <c r="K215" s="383"/>
      <c r="L215" s="383"/>
      <c r="M215" s="383"/>
      <c r="N215" s="383"/>
      <c r="O215" s="383"/>
      <c r="P215" s="383"/>
      <c r="Q215" s="383"/>
      <c r="R215" s="383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</row>
    <row r="216" spans="41:255" ht="10.5" customHeight="1"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</row>
    <row r="217" spans="1:255" ht="11.25">
      <c r="A217" s="9"/>
      <c r="B217" s="9"/>
      <c r="C217" s="9"/>
      <c r="D217" s="9"/>
      <c r="E217" s="9"/>
      <c r="F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</row>
    <row r="218" spans="1:255" ht="11.25">
      <c r="A218" s="9"/>
      <c r="B218" s="9"/>
      <c r="C218" s="9"/>
      <c r="D218" s="9"/>
      <c r="E218" s="9"/>
      <c r="F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</row>
    <row r="219" spans="1:255" ht="14.25" customHeight="1">
      <c r="A219" s="9"/>
      <c r="B219" s="9"/>
      <c r="C219" s="9"/>
      <c r="D219" s="9"/>
      <c r="E219" s="9"/>
      <c r="F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</row>
    <row r="224" spans="1:39" ht="11.25">
      <c r="A224" s="9"/>
      <c r="B224" s="9"/>
      <c r="C224" s="9"/>
      <c r="D224" s="9"/>
      <c r="E224" s="9"/>
      <c r="F224" s="9"/>
      <c r="AG224" s="88"/>
      <c r="AH224" s="88"/>
      <c r="AI224" s="88"/>
      <c r="AJ224" s="88"/>
      <c r="AK224" s="88"/>
      <c r="AL224" s="88"/>
      <c r="AM224" s="88"/>
    </row>
    <row r="225" spans="1:39" ht="11.25">
      <c r="A225" s="9"/>
      <c r="B225" s="9"/>
      <c r="C225" s="9"/>
      <c r="D225" s="9"/>
      <c r="E225" s="9"/>
      <c r="F225" s="9"/>
      <c r="I225" s="29"/>
      <c r="J225" s="29"/>
      <c r="K225" s="29"/>
      <c r="L225" s="29"/>
      <c r="M225" s="29"/>
      <c r="AG225" s="88"/>
      <c r="AH225" s="88"/>
      <c r="AI225" s="88"/>
      <c r="AJ225" s="88"/>
      <c r="AK225" s="88"/>
      <c r="AL225" s="88"/>
      <c r="AM225" s="88"/>
    </row>
    <row r="226" spans="1:39" ht="11.25">
      <c r="A226" s="9"/>
      <c r="B226" s="9"/>
      <c r="C226" s="9"/>
      <c r="D226" s="9"/>
      <c r="E226" s="9"/>
      <c r="F226" s="9"/>
      <c r="G226" s="429"/>
      <c r="H226" s="429"/>
      <c r="S226" s="545"/>
      <c r="T226" s="545"/>
      <c r="U226" s="545"/>
      <c r="V226" s="545"/>
      <c r="W226" s="545"/>
      <c r="X226" s="545"/>
      <c r="Y226" s="30"/>
      <c r="Z226" s="30"/>
      <c r="AA226" s="30"/>
      <c r="AB226" s="30"/>
      <c r="AC226" s="148"/>
      <c r="AD226" s="88"/>
      <c r="AG226" s="88"/>
      <c r="AH226" s="88"/>
      <c r="AI226" s="190"/>
      <c r="AJ226" s="88"/>
      <c r="AK226" s="88"/>
      <c r="AL226" s="88"/>
      <c r="AM226" s="88"/>
    </row>
    <row r="227" spans="1:40" ht="11.25">
      <c r="A227" s="9"/>
      <c r="B227" s="9"/>
      <c r="C227" s="9"/>
      <c r="D227" s="9"/>
      <c r="E227" s="9"/>
      <c r="F227" s="9"/>
      <c r="S227" s="383"/>
      <c r="T227" s="547"/>
      <c r="U227" s="547"/>
      <c r="V227" s="547"/>
      <c r="W227" s="547"/>
      <c r="X227" s="547"/>
      <c r="AC227" s="7"/>
      <c r="AD227" s="548"/>
      <c r="AG227" s="88"/>
      <c r="AH227" s="549"/>
      <c r="AI227" s="550"/>
      <c r="AJ227" s="551"/>
      <c r="AK227" s="543"/>
      <c r="AL227" s="543"/>
      <c r="AM227" s="548"/>
      <c r="AN227" s="9"/>
    </row>
    <row r="228" spans="1:40" ht="11.25">
      <c r="A228" s="9"/>
      <c r="B228" s="9"/>
      <c r="C228" s="9"/>
      <c r="D228" s="9"/>
      <c r="E228" s="9"/>
      <c r="F228" s="9"/>
      <c r="S228" s="383"/>
      <c r="T228" s="547"/>
      <c r="U228" s="547"/>
      <c r="V228" s="547"/>
      <c r="W228" s="547"/>
      <c r="X228" s="547"/>
      <c r="AC228" s="7"/>
      <c r="AD228" s="88"/>
      <c r="AG228" s="88"/>
      <c r="AH228" s="552"/>
      <c r="AI228" s="543"/>
      <c r="AJ228" s="553"/>
      <c r="AK228" s="553"/>
      <c r="AL228" s="553"/>
      <c r="AM228" s="553"/>
      <c r="AN228" s="9"/>
    </row>
    <row r="229" spans="1:40" ht="11.25">
      <c r="A229" s="9"/>
      <c r="B229" s="9"/>
      <c r="C229" s="9"/>
      <c r="D229" s="9"/>
      <c r="E229" s="9"/>
      <c r="F229" s="9"/>
      <c r="S229" s="383"/>
      <c r="T229" s="547"/>
      <c r="U229" s="547"/>
      <c r="V229" s="547"/>
      <c r="W229" s="547"/>
      <c r="X229" s="547"/>
      <c r="AC229" s="7"/>
      <c r="AD229" s="88"/>
      <c r="AG229" s="88"/>
      <c r="AH229" s="552"/>
      <c r="AI229" s="543"/>
      <c r="AJ229" s="553"/>
      <c r="AK229" s="553"/>
      <c r="AL229" s="553"/>
      <c r="AM229" s="553"/>
      <c r="AN229" s="9"/>
    </row>
    <row r="230" spans="1:40" ht="11.25">
      <c r="A230" s="9"/>
      <c r="B230" s="9"/>
      <c r="C230" s="9"/>
      <c r="D230" s="9"/>
      <c r="E230" s="9"/>
      <c r="F230" s="9"/>
      <c r="S230" s="383"/>
      <c r="T230" s="547"/>
      <c r="U230" s="547"/>
      <c r="V230" s="547"/>
      <c r="W230" s="547"/>
      <c r="X230" s="547"/>
      <c r="AC230" s="554"/>
      <c r="AD230" s="88"/>
      <c r="AG230" s="88"/>
      <c r="AH230" s="555"/>
      <c r="AI230" s="556"/>
      <c r="AJ230" s="542"/>
      <c r="AK230" s="557"/>
      <c r="AL230" s="542"/>
      <c r="AM230" s="557"/>
      <c r="AN230" s="9"/>
    </row>
    <row r="231" spans="1:40" ht="11.25">
      <c r="A231" s="9"/>
      <c r="B231" s="9"/>
      <c r="C231" s="9"/>
      <c r="D231" s="9"/>
      <c r="E231" s="9"/>
      <c r="F231" s="9"/>
      <c r="S231" s="383"/>
      <c r="T231" s="547"/>
      <c r="U231" s="547"/>
      <c r="V231" s="547"/>
      <c r="W231" s="547"/>
      <c r="X231" s="547"/>
      <c r="AC231" s="7"/>
      <c r="AD231" s="88"/>
      <c r="AG231" s="88"/>
      <c r="AH231" s="555"/>
      <c r="AI231" s="556"/>
      <c r="AJ231" s="558"/>
      <c r="AK231" s="557"/>
      <c r="AL231" s="558"/>
      <c r="AM231" s="557"/>
      <c r="AN231" s="9"/>
    </row>
    <row r="232" spans="1:40" ht="11.25">
      <c r="A232" s="9"/>
      <c r="B232" s="9"/>
      <c r="C232" s="9"/>
      <c r="D232" s="9"/>
      <c r="E232" s="9"/>
      <c r="F232" s="9"/>
      <c r="S232" s="383"/>
      <c r="T232" s="547"/>
      <c r="U232" s="547"/>
      <c r="V232" s="547"/>
      <c r="W232" s="547"/>
      <c r="X232" s="547"/>
      <c r="AC232" s="554"/>
      <c r="AD232" s="88"/>
      <c r="AG232" s="88"/>
      <c r="AH232" s="555"/>
      <c r="AI232" s="556"/>
      <c r="AJ232" s="542"/>
      <c r="AK232" s="557"/>
      <c r="AL232" s="542"/>
      <c r="AM232" s="557"/>
      <c r="AN232" s="9"/>
    </row>
    <row r="233" spans="1:255" ht="11.25">
      <c r="A233" s="9"/>
      <c r="B233" s="9"/>
      <c r="C233" s="9"/>
      <c r="D233" s="9"/>
      <c r="E233" s="9"/>
      <c r="F233" s="9"/>
      <c r="S233" s="383"/>
      <c r="T233" s="547"/>
      <c r="U233" s="547"/>
      <c r="V233" s="547"/>
      <c r="W233" s="547"/>
      <c r="X233" s="547"/>
      <c r="AC233" s="7"/>
      <c r="AD233" s="88"/>
      <c r="AG233" s="88"/>
      <c r="AH233" s="555"/>
      <c r="AI233" s="556"/>
      <c r="AJ233" s="542"/>
      <c r="AK233" s="557"/>
      <c r="AL233" s="542"/>
      <c r="AM233" s="557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</row>
    <row r="234" spans="1:255" ht="11.25">
      <c r="A234" s="9"/>
      <c r="B234" s="9"/>
      <c r="C234" s="9"/>
      <c r="D234" s="9"/>
      <c r="E234" s="9"/>
      <c r="F234" s="9"/>
      <c r="AC234" s="7"/>
      <c r="AD234" s="88"/>
      <c r="AG234" s="88"/>
      <c r="AH234" s="555"/>
      <c r="AI234" s="556"/>
      <c r="AJ234" s="542"/>
      <c r="AK234" s="557"/>
      <c r="AL234" s="542"/>
      <c r="AM234" s="557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</row>
    <row r="235" spans="1:255" ht="11.25">
      <c r="A235" s="9"/>
      <c r="B235" s="9"/>
      <c r="C235" s="9"/>
      <c r="D235" s="9"/>
      <c r="E235" s="9"/>
      <c r="F235" s="9"/>
      <c r="AC235" s="7"/>
      <c r="AD235" s="88"/>
      <c r="AG235" s="88"/>
      <c r="AH235" s="555"/>
      <c r="AI235" s="556"/>
      <c r="AJ235" s="542"/>
      <c r="AK235" s="557"/>
      <c r="AL235" s="542"/>
      <c r="AM235" s="557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</row>
    <row r="236" spans="1:255" ht="11.25">
      <c r="A236" s="9"/>
      <c r="B236" s="9"/>
      <c r="C236" s="9"/>
      <c r="D236" s="9"/>
      <c r="E236" s="9"/>
      <c r="F236" s="9"/>
      <c r="AC236" s="7"/>
      <c r="AD236" s="88"/>
      <c r="AG236" s="88"/>
      <c r="AH236" s="559"/>
      <c r="AI236" s="560"/>
      <c r="AJ236" s="542"/>
      <c r="AK236" s="561"/>
      <c r="AL236" s="542"/>
      <c r="AM236" s="561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</row>
    <row r="237" spans="1:255" ht="11.25">
      <c r="A237" s="9"/>
      <c r="B237" s="9"/>
      <c r="C237" s="9"/>
      <c r="D237" s="9"/>
      <c r="E237" s="9"/>
      <c r="F237" s="9"/>
      <c r="AC237" s="7"/>
      <c r="AD237" s="88"/>
      <c r="AG237" s="88"/>
      <c r="AH237" s="562"/>
      <c r="AI237" s="543"/>
      <c r="AJ237" s="542"/>
      <c r="AK237" s="542"/>
      <c r="AL237" s="542"/>
      <c r="AM237" s="7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</row>
    <row r="238" spans="1:255" ht="11.25">
      <c r="A238" s="9"/>
      <c r="B238" s="9"/>
      <c r="C238" s="9"/>
      <c r="D238" s="9"/>
      <c r="E238" s="9"/>
      <c r="F238" s="9"/>
      <c r="AC238" s="5"/>
      <c r="AD238" s="9"/>
      <c r="AE238" s="9"/>
      <c r="AF238" s="9"/>
      <c r="AG238" s="88"/>
      <c r="AH238" s="88"/>
      <c r="AI238" s="88"/>
      <c r="AJ238" s="190"/>
      <c r="AK238" s="88"/>
      <c r="AL238" s="88"/>
      <c r="AM238" s="88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</row>
    <row r="239" spans="1:255" ht="11.25">
      <c r="A239" s="9"/>
      <c r="B239" s="9"/>
      <c r="C239" s="9"/>
      <c r="D239" s="9"/>
      <c r="E239" s="9"/>
      <c r="F239" s="9"/>
      <c r="AD239" s="9"/>
      <c r="AE239" s="9"/>
      <c r="AF239" s="9"/>
      <c r="AG239" s="9"/>
      <c r="AH239" s="9"/>
      <c r="AI239" s="9"/>
      <c r="AJ239" s="9"/>
      <c r="AK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</row>
    <row r="240" spans="1:255" ht="11.25">
      <c r="A240" s="9"/>
      <c r="B240" s="9"/>
      <c r="C240" s="9"/>
      <c r="D240" s="9"/>
      <c r="E240" s="9"/>
      <c r="F240" s="9"/>
      <c r="AD240" s="9"/>
      <c r="AE240" s="9"/>
      <c r="AF240" s="9"/>
      <c r="AG240" s="9"/>
      <c r="AH240" s="9"/>
      <c r="AI240" s="9"/>
      <c r="AJ240" s="9"/>
      <c r="AK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</row>
    <row r="241" spans="1:255" ht="11.25">
      <c r="A241" s="9"/>
      <c r="B241" s="9"/>
      <c r="C241" s="9"/>
      <c r="D241" s="9"/>
      <c r="E241" s="9"/>
      <c r="F241" s="9"/>
      <c r="AD241" s="9"/>
      <c r="AE241" s="9"/>
      <c r="AF241" s="9"/>
      <c r="AG241" s="9"/>
      <c r="AH241" s="9"/>
      <c r="AI241" s="9"/>
      <c r="AJ241" s="9"/>
      <c r="AK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</row>
    <row r="242" spans="1:255" ht="11.25">
      <c r="A242" s="9"/>
      <c r="B242" s="9"/>
      <c r="C242" s="9"/>
      <c r="D242" s="9"/>
      <c r="E242" s="9"/>
      <c r="F242" s="9"/>
      <c r="AD242" s="9"/>
      <c r="AE242" s="9"/>
      <c r="AF242" s="9"/>
      <c r="AG242" s="9"/>
      <c r="AH242" s="9"/>
      <c r="AI242" s="9"/>
      <c r="AJ242" s="9"/>
      <c r="AK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</row>
    <row r="243" spans="1:255" ht="11.25">
      <c r="A243" s="9"/>
      <c r="B243" s="9"/>
      <c r="C243" s="9"/>
      <c r="D243" s="9"/>
      <c r="E243" s="9"/>
      <c r="F243" s="9"/>
      <c r="AD243" s="9"/>
      <c r="AE243" s="9"/>
      <c r="AF243" s="9"/>
      <c r="AG243" s="9"/>
      <c r="AH243" s="9"/>
      <c r="AI243" s="9"/>
      <c r="AJ243" s="9"/>
      <c r="AK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</row>
    <row r="244" spans="1:255" ht="11.25">
      <c r="A244" s="9"/>
      <c r="B244" s="9"/>
      <c r="C244" s="9"/>
      <c r="D244" s="9"/>
      <c r="E244" s="9"/>
      <c r="F244" s="9"/>
      <c r="AD244" s="9"/>
      <c r="AE244" s="9"/>
      <c r="AF244" s="9"/>
      <c r="AG244" s="9"/>
      <c r="AH244" s="9"/>
      <c r="AI244" s="9"/>
      <c r="AJ244" s="9"/>
      <c r="AK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</row>
    <row r="245" spans="1:255" ht="11.25">
      <c r="A245" s="9"/>
      <c r="B245" s="9"/>
      <c r="C245" s="9"/>
      <c r="D245" s="9"/>
      <c r="E245" s="9"/>
      <c r="F245" s="9"/>
      <c r="AD245" s="9"/>
      <c r="AE245" s="9"/>
      <c r="AF245" s="9"/>
      <c r="AG245" s="9"/>
      <c r="AH245" s="9"/>
      <c r="AI245" s="9"/>
      <c r="AJ245" s="9"/>
      <c r="AK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</row>
    <row r="246" spans="1:255" ht="11.25">
      <c r="A246" s="9"/>
      <c r="B246" s="9"/>
      <c r="C246" s="9"/>
      <c r="D246" s="9"/>
      <c r="E246" s="9"/>
      <c r="F246" s="9"/>
      <c r="AD246" s="9"/>
      <c r="AE246" s="9"/>
      <c r="AF246" s="9"/>
      <c r="AG246" s="9"/>
      <c r="AH246" s="9"/>
      <c r="AI246" s="9"/>
      <c r="AJ246" s="9"/>
      <c r="AK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</row>
    <row r="247" spans="1:255" ht="11.25">
      <c r="A247" s="9"/>
      <c r="B247" s="9"/>
      <c r="C247" s="9"/>
      <c r="D247" s="9"/>
      <c r="E247" s="9"/>
      <c r="F247" s="9"/>
      <c r="AD247" s="9"/>
      <c r="AE247" s="9"/>
      <c r="AF247" s="9"/>
      <c r="AG247" s="9"/>
      <c r="AH247" s="9"/>
      <c r="AI247" s="9"/>
      <c r="AJ247" s="9"/>
      <c r="AK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</row>
    <row r="248" spans="1:255" ht="11.25">
      <c r="A248" s="9"/>
      <c r="B248" s="9"/>
      <c r="C248" s="9"/>
      <c r="D248" s="9"/>
      <c r="E248" s="9"/>
      <c r="F248" s="9"/>
      <c r="AD248" s="9"/>
      <c r="AE248" s="9"/>
      <c r="AF248" s="9"/>
      <c r="AG248" s="9"/>
      <c r="AH248" s="9"/>
      <c r="AI248" s="9"/>
      <c r="AJ248" s="29"/>
      <c r="AK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</row>
    <row r="249" spans="1:255" ht="11.25">
      <c r="A249" s="9"/>
      <c r="B249" s="9"/>
      <c r="C249" s="9"/>
      <c r="D249" s="9"/>
      <c r="E249" s="9"/>
      <c r="F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</row>
    <row r="250" spans="1:255" ht="11.25">
      <c r="A250" s="9"/>
      <c r="B250" s="9"/>
      <c r="C250" s="9"/>
      <c r="D250" s="9"/>
      <c r="E250" s="9"/>
      <c r="F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</row>
    <row r="251" spans="1:255" ht="11.25">
      <c r="A251" s="9"/>
      <c r="B251" s="9"/>
      <c r="C251" s="9"/>
      <c r="D251" s="9"/>
      <c r="E251" s="9"/>
      <c r="F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</row>
    <row r="252" spans="1:255" ht="11.25">
      <c r="A252" s="9"/>
      <c r="B252" s="9"/>
      <c r="C252" s="9"/>
      <c r="D252" s="9"/>
      <c r="E252" s="9"/>
      <c r="F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</row>
    <row r="253" spans="1:255" ht="11.25">
      <c r="A253" s="9"/>
      <c r="B253" s="9"/>
      <c r="C253" s="9"/>
      <c r="D253" s="9"/>
      <c r="E253" s="9"/>
      <c r="F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</row>
    <row r="254" spans="1:255" ht="11.25">
      <c r="A254" s="9"/>
      <c r="B254" s="9"/>
      <c r="C254" s="9"/>
      <c r="D254" s="9"/>
      <c r="E254" s="9"/>
      <c r="F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</row>
    <row r="255" spans="1:255" ht="11.25">
      <c r="A255" s="9"/>
      <c r="B255" s="9"/>
      <c r="C255" s="9"/>
      <c r="D255" s="9"/>
      <c r="E255" s="9"/>
      <c r="F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</row>
    <row r="256" spans="1:255" ht="11.25">
      <c r="A256" s="9"/>
      <c r="B256" s="9"/>
      <c r="C256" s="9"/>
      <c r="D256" s="9"/>
      <c r="E256" s="9"/>
      <c r="F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</row>
    <row r="257" spans="1:255" ht="11.25">
      <c r="A257" s="9"/>
      <c r="B257" s="9"/>
      <c r="C257" s="9"/>
      <c r="D257" s="9"/>
      <c r="E257" s="9"/>
      <c r="F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</row>
    <row r="258" spans="1:255" ht="11.25">
      <c r="A258" s="9"/>
      <c r="B258" s="9"/>
      <c r="C258" s="9"/>
      <c r="D258" s="9"/>
      <c r="E258" s="9"/>
      <c r="F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</row>
    <row r="259" spans="1:255" ht="11.25">
      <c r="A259" s="9"/>
      <c r="B259" s="9"/>
      <c r="C259" s="9"/>
      <c r="D259" s="9"/>
      <c r="E259" s="9"/>
      <c r="F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</row>
    <row r="260" spans="1:255" ht="11.25">
      <c r="A260" s="9"/>
      <c r="B260" s="9"/>
      <c r="C260" s="9"/>
      <c r="D260" s="9"/>
      <c r="E260" s="9"/>
      <c r="F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</row>
    <row r="261" spans="1:255" ht="11.25">
      <c r="A261" s="9"/>
      <c r="B261" s="9"/>
      <c r="C261" s="9"/>
      <c r="D261" s="9"/>
      <c r="E261" s="9"/>
      <c r="F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</row>
    <row r="262" spans="1:255" ht="11.25">
      <c r="A262" s="9"/>
      <c r="B262" s="9"/>
      <c r="C262" s="9"/>
      <c r="D262" s="9"/>
      <c r="E262" s="9"/>
      <c r="F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</row>
    <row r="263" spans="1:255" ht="11.25">
      <c r="A263" s="9"/>
      <c r="B263" s="9"/>
      <c r="C263" s="9"/>
      <c r="D263" s="9"/>
      <c r="E263" s="9"/>
      <c r="F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</row>
    <row r="264" spans="1:255" ht="11.25">
      <c r="A264" s="9"/>
      <c r="B264" s="9"/>
      <c r="C264" s="9"/>
      <c r="D264" s="9"/>
      <c r="E264" s="9"/>
      <c r="F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</row>
    <row r="265" spans="1:255" ht="11.25">
      <c r="A265" s="9"/>
      <c r="B265" s="9"/>
      <c r="C265" s="9"/>
      <c r="D265" s="9"/>
      <c r="E265" s="9"/>
      <c r="F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</row>
    <row r="266" spans="1:255" ht="11.25">
      <c r="A266" s="9"/>
      <c r="B266" s="9"/>
      <c r="C266" s="9"/>
      <c r="D266" s="9"/>
      <c r="E266" s="9"/>
      <c r="F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</row>
    <row r="267" spans="1:255" ht="11.25">
      <c r="A267" s="9"/>
      <c r="B267" s="9"/>
      <c r="C267" s="9"/>
      <c r="D267" s="9"/>
      <c r="E267" s="9"/>
      <c r="F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</row>
    <row r="268" spans="1:255" ht="11.25">
      <c r="A268" s="9"/>
      <c r="B268" s="9"/>
      <c r="C268" s="9"/>
      <c r="D268" s="9"/>
      <c r="E268" s="9"/>
      <c r="F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</row>
    <row r="269" spans="1:255" ht="11.25">
      <c r="A269" s="9"/>
      <c r="B269" s="9"/>
      <c r="C269" s="9"/>
      <c r="D269" s="9"/>
      <c r="E269" s="9"/>
      <c r="F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</row>
    <row r="270" spans="1:255" ht="11.25">
      <c r="A270" s="9"/>
      <c r="B270" s="9"/>
      <c r="C270" s="9"/>
      <c r="D270" s="9"/>
      <c r="E270" s="9"/>
      <c r="F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</row>
    <row r="271" spans="1:255" ht="11.25">
      <c r="A271" s="9"/>
      <c r="B271" s="9"/>
      <c r="C271" s="9"/>
      <c r="D271" s="9"/>
      <c r="E271" s="9"/>
      <c r="F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</row>
    <row r="272" spans="1:255" ht="11.25">
      <c r="A272" s="9"/>
      <c r="B272" s="9"/>
      <c r="C272" s="9"/>
      <c r="D272" s="9"/>
      <c r="E272" s="9"/>
      <c r="F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</row>
    <row r="273" spans="1:255" ht="11.25">
      <c r="A273" s="9"/>
      <c r="B273" s="9"/>
      <c r="C273" s="9"/>
      <c r="D273" s="9"/>
      <c r="E273" s="9"/>
      <c r="F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</row>
    <row r="274" spans="1:255" ht="11.25">
      <c r="A274" s="9"/>
      <c r="B274" s="9"/>
      <c r="C274" s="9"/>
      <c r="D274" s="9"/>
      <c r="E274" s="9"/>
      <c r="F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</row>
    <row r="275" spans="1:255" ht="11.25">
      <c r="A275" s="9"/>
      <c r="B275" s="9"/>
      <c r="C275" s="9"/>
      <c r="D275" s="9"/>
      <c r="E275" s="9"/>
      <c r="F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</row>
    <row r="276" spans="1:255" ht="11.25">
      <c r="A276" s="9"/>
      <c r="B276" s="9"/>
      <c r="C276" s="9"/>
      <c r="D276" s="9"/>
      <c r="E276" s="9"/>
      <c r="F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</row>
    <row r="277" spans="1:255" ht="11.25">
      <c r="A277" s="9"/>
      <c r="B277" s="9"/>
      <c r="C277" s="9"/>
      <c r="D277" s="9"/>
      <c r="E277" s="9"/>
      <c r="F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</row>
    <row r="278" spans="1:255" ht="11.25">
      <c r="A278" s="9"/>
      <c r="B278" s="9"/>
      <c r="C278" s="9"/>
      <c r="D278" s="9"/>
      <c r="E278" s="9"/>
      <c r="F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</row>
    <row r="279" spans="1:255" ht="11.25">
      <c r="A279" s="9"/>
      <c r="B279" s="9"/>
      <c r="C279" s="9"/>
      <c r="D279" s="9"/>
      <c r="E279" s="9"/>
      <c r="F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</row>
    <row r="280" spans="1:255" ht="11.25">
      <c r="A280" s="9"/>
      <c r="B280" s="9"/>
      <c r="C280" s="9"/>
      <c r="D280" s="9"/>
      <c r="E280" s="9"/>
      <c r="F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</row>
    <row r="281" spans="1:255" ht="11.25">
      <c r="A281" s="9"/>
      <c r="B281" s="9"/>
      <c r="C281" s="9"/>
      <c r="D281" s="9"/>
      <c r="E281" s="9"/>
      <c r="F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</row>
    <row r="282" spans="1:255" ht="11.25">
      <c r="A282" s="9"/>
      <c r="B282" s="9"/>
      <c r="C282" s="9"/>
      <c r="D282" s="9"/>
      <c r="E282" s="9"/>
      <c r="F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</row>
    <row r="283" spans="1:255" ht="11.25">
      <c r="A283" s="9"/>
      <c r="B283" s="9"/>
      <c r="C283" s="9"/>
      <c r="D283" s="9"/>
      <c r="E283" s="9"/>
      <c r="F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</row>
    <row r="284" spans="1:255" ht="11.25">
      <c r="A284" s="9"/>
      <c r="B284" s="9"/>
      <c r="C284" s="9"/>
      <c r="D284" s="9"/>
      <c r="E284" s="9"/>
      <c r="F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</row>
    <row r="285" spans="1:255" ht="11.25">
      <c r="A285" s="9"/>
      <c r="B285" s="9"/>
      <c r="C285" s="9"/>
      <c r="D285" s="9"/>
      <c r="E285" s="9"/>
      <c r="F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</row>
    <row r="286" spans="1:255" ht="11.25">
      <c r="A286" s="9"/>
      <c r="B286" s="9"/>
      <c r="C286" s="9"/>
      <c r="D286" s="9"/>
      <c r="E286" s="9"/>
      <c r="F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38"/>
  <sheetViews>
    <sheetView zoomScale="115" zoomScaleNormal="115" zoomScalePageLayoutView="0" workbookViewId="0" topLeftCell="A1">
      <selection activeCell="T12" sqref="T12"/>
    </sheetView>
  </sheetViews>
  <sheetFormatPr defaultColWidth="16.28125" defaultRowHeight="15"/>
  <cols>
    <col min="1" max="1" width="8.00390625" style="1075" customWidth="1"/>
    <col min="2" max="2" width="8.57421875" style="1076" hidden="1" customWidth="1"/>
    <col min="3" max="3" width="6.8515625" style="1586" customWidth="1"/>
    <col min="4" max="4" width="10.00390625" style="1587" hidden="1" customWidth="1"/>
    <col min="5" max="5" width="38.8515625" style="999" customWidth="1"/>
    <col min="6" max="6" width="9.00390625" style="1588" hidden="1" customWidth="1"/>
    <col min="7" max="7" width="8.57421875" style="999" hidden="1" customWidth="1"/>
    <col min="8" max="8" width="8.57421875" style="1588" customWidth="1"/>
    <col min="9" max="9" width="8.28125" style="1588" customWidth="1"/>
    <col min="10" max="10" width="10.421875" style="1595" customWidth="1"/>
    <col min="11" max="11" width="11.28125" style="1590" customWidth="1"/>
    <col min="12" max="12" width="12.28125" style="1591" customWidth="1"/>
    <col min="13" max="14" width="16.28125" style="1592" customWidth="1"/>
    <col min="15" max="15" width="16.28125" style="1591" hidden="1" customWidth="1"/>
    <col min="16" max="16" width="16.28125" style="999" hidden="1" customWidth="1"/>
    <col min="17" max="17" width="10.28125" style="999" hidden="1" customWidth="1"/>
    <col min="18" max="18" width="5.421875" style="999" hidden="1" customWidth="1"/>
    <col min="19" max="19" width="7.28125" style="999" hidden="1" customWidth="1"/>
    <col min="20" max="20" width="16.28125" style="999" customWidth="1"/>
    <col min="21" max="21" width="15.57421875" style="999" customWidth="1"/>
    <col min="22" max="22" width="12.8515625" style="999" hidden="1" customWidth="1"/>
    <col min="23" max="23" width="15.28125" style="999" hidden="1" customWidth="1"/>
    <col min="24" max="24" width="5.57421875" style="999" customWidth="1"/>
    <col min="25" max="25" width="18.00390625" style="999" customWidth="1"/>
    <col min="26" max="27" width="15.7109375" style="999" hidden="1" customWidth="1"/>
    <col min="28" max="28" width="10.8515625" style="999" customWidth="1"/>
    <col min="29" max="29" width="7.57421875" style="999" customWidth="1"/>
    <col min="30" max="30" width="11.140625" style="999" customWidth="1"/>
    <col min="31" max="31" width="6.140625" style="999" customWidth="1"/>
    <col min="32" max="32" width="10.8515625" style="999" customWidth="1"/>
    <col min="33" max="33" width="6.8515625" style="999" customWidth="1"/>
    <col min="34" max="34" width="10.28125" style="999" customWidth="1"/>
    <col min="35" max="35" width="6.7109375" style="999" customWidth="1"/>
    <col min="36" max="36" width="11.421875" style="999" customWidth="1"/>
    <col min="37" max="37" width="7.7109375" style="999" customWidth="1"/>
    <col min="38" max="38" width="11.421875" style="999" customWidth="1"/>
    <col min="39" max="39" width="7.28125" style="999" customWidth="1"/>
    <col min="40" max="16384" width="16.28125" style="999" customWidth="1"/>
  </cols>
  <sheetData>
    <row r="1" spans="2:18" s="966" customFormat="1" ht="15.75">
      <c r="B1" s="967"/>
      <c r="C1" s="968"/>
      <c r="D1" s="969"/>
      <c r="E1" s="970" t="s">
        <v>342</v>
      </c>
      <c r="F1" s="970"/>
      <c r="G1" s="971"/>
      <c r="H1" s="969"/>
      <c r="I1" s="969"/>
      <c r="J1" s="969"/>
      <c r="K1" s="972"/>
      <c r="L1" s="972"/>
      <c r="M1" s="973"/>
      <c r="N1" s="974"/>
      <c r="O1" s="975"/>
      <c r="P1" s="976"/>
      <c r="Q1" s="976"/>
      <c r="R1" s="976"/>
    </row>
    <row r="2" spans="1:18" s="966" customFormat="1" ht="12" thickBot="1">
      <c r="A2" s="977"/>
      <c r="B2" s="978"/>
      <c r="C2" s="979"/>
      <c r="D2" s="980"/>
      <c r="E2" s="981" t="s">
        <v>343</v>
      </c>
      <c r="F2" s="982"/>
      <c r="G2" s="981"/>
      <c r="H2" s="982"/>
      <c r="I2" s="982"/>
      <c r="K2" s="983" t="s">
        <v>344</v>
      </c>
      <c r="L2" s="984"/>
      <c r="M2" s="985" t="s">
        <v>345</v>
      </c>
      <c r="N2" s="16" t="s">
        <v>2</v>
      </c>
      <c r="O2" s="986" t="s">
        <v>346</v>
      </c>
      <c r="P2" s="987"/>
      <c r="Q2" s="987"/>
      <c r="R2" s="987"/>
    </row>
    <row r="3" spans="1:18" ht="12">
      <c r="A3" s="988" t="s">
        <v>347</v>
      </c>
      <c r="B3" s="989"/>
      <c r="C3" s="990"/>
      <c r="D3" s="991"/>
      <c r="E3" s="992"/>
      <c r="F3" s="993" t="s">
        <v>7</v>
      </c>
      <c r="G3" s="993" t="s">
        <v>7</v>
      </c>
      <c r="H3" s="994" t="s">
        <v>8</v>
      </c>
      <c r="I3" s="995" t="s">
        <v>8</v>
      </c>
      <c r="J3" s="996" t="s">
        <v>348</v>
      </c>
      <c r="K3" s="997" t="s">
        <v>348</v>
      </c>
      <c r="L3" s="993" t="s">
        <v>348</v>
      </c>
      <c r="M3" s="998" t="s">
        <v>348</v>
      </c>
      <c r="N3" s="998" t="s">
        <v>348</v>
      </c>
      <c r="O3" s="998" t="s">
        <v>7</v>
      </c>
      <c r="P3" s="998" t="s">
        <v>7</v>
      </c>
      <c r="Q3" s="998"/>
      <c r="R3" s="998"/>
    </row>
    <row r="4" spans="1:18" ht="11.25">
      <c r="A4" s="1000" t="s">
        <v>349</v>
      </c>
      <c r="B4" s="1001"/>
      <c r="C4" s="1002" t="s">
        <v>26</v>
      </c>
      <c r="D4" s="991" t="s">
        <v>350</v>
      </c>
      <c r="E4" s="992"/>
      <c r="F4" s="1003" t="s">
        <v>351</v>
      </c>
      <c r="G4" s="1000" t="s">
        <v>352</v>
      </c>
      <c r="H4" s="1003" t="s">
        <v>351</v>
      </c>
      <c r="I4" s="1004" t="s">
        <v>352</v>
      </c>
      <c r="J4" s="993" t="s">
        <v>351</v>
      </c>
      <c r="K4" s="1005" t="s">
        <v>353</v>
      </c>
      <c r="L4" s="1005" t="s">
        <v>352</v>
      </c>
      <c r="M4" s="1006" t="s">
        <v>353</v>
      </c>
      <c r="N4" s="1007" t="s">
        <v>352</v>
      </c>
      <c r="O4" s="1008" t="s">
        <v>353</v>
      </c>
      <c r="P4" s="1009" t="s">
        <v>352</v>
      </c>
      <c r="Q4" s="1010" t="s">
        <v>354</v>
      </c>
      <c r="R4" s="1010" t="s">
        <v>35</v>
      </c>
    </row>
    <row r="5" spans="1:18" ht="11.25">
      <c r="A5" s="1000" t="s">
        <v>355</v>
      </c>
      <c r="B5" s="1001"/>
      <c r="C5" s="1002" t="s">
        <v>356</v>
      </c>
      <c r="D5" s="991" t="s">
        <v>357</v>
      </c>
      <c r="E5" s="1011" t="s">
        <v>358</v>
      </c>
      <c r="F5" s="1003" t="s">
        <v>33</v>
      </c>
      <c r="G5" s="1000" t="s">
        <v>359</v>
      </c>
      <c r="H5" s="1003" t="s">
        <v>33</v>
      </c>
      <c r="I5" s="1004" t="s">
        <v>359</v>
      </c>
      <c r="J5" s="993" t="s">
        <v>33</v>
      </c>
      <c r="K5" s="1005" t="s">
        <v>360</v>
      </c>
      <c r="L5" s="1005" t="s">
        <v>359</v>
      </c>
      <c r="M5" s="1006" t="s">
        <v>361</v>
      </c>
      <c r="N5" s="1007" t="s">
        <v>359</v>
      </c>
      <c r="O5" s="1008" t="s">
        <v>361</v>
      </c>
      <c r="P5" s="1009" t="s">
        <v>359</v>
      </c>
      <c r="Q5" s="1010" t="s">
        <v>362</v>
      </c>
      <c r="R5" s="1010"/>
    </row>
    <row r="6" spans="1:18" ht="12.75" customHeight="1">
      <c r="A6" s="1000" t="s">
        <v>357</v>
      </c>
      <c r="B6" s="1001"/>
      <c r="C6" s="1002" t="s">
        <v>363</v>
      </c>
      <c r="D6" s="991"/>
      <c r="E6" s="992"/>
      <c r="F6" s="1012"/>
      <c r="G6" s="1013"/>
      <c r="H6" s="1012"/>
      <c r="I6" s="1012"/>
      <c r="J6" s="1014"/>
      <c r="K6" s="1005" t="s">
        <v>29</v>
      </c>
      <c r="L6" s="1005"/>
      <c r="M6" s="1006" t="s">
        <v>364</v>
      </c>
      <c r="N6" s="1007"/>
      <c r="O6" s="1008" t="s">
        <v>364</v>
      </c>
      <c r="P6" s="1009"/>
      <c r="Q6" s="1009"/>
      <c r="R6" s="1009"/>
    </row>
    <row r="7" spans="1:18" s="1029" customFormat="1" ht="12.75" thickBot="1">
      <c r="A7" s="1015"/>
      <c r="B7" s="1016"/>
      <c r="C7" s="1017" t="s">
        <v>365</v>
      </c>
      <c r="D7" s="1018"/>
      <c r="E7" s="1019"/>
      <c r="F7" s="1020"/>
      <c r="G7" s="1021"/>
      <c r="H7" s="1020"/>
      <c r="I7" s="1020"/>
      <c r="J7" s="1022"/>
      <c r="K7" s="1023" t="s">
        <v>366</v>
      </c>
      <c r="L7" s="1024"/>
      <c r="M7" s="1025" t="s">
        <v>366</v>
      </c>
      <c r="N7" s="1026"/>
      <c r="O7" s="1027" t="s">
        <v>366</v>
      </c>
      <c r="P7" s="1028"/>
      <c r="Q7" s="1028"/>
      <c r="R7" s="1028"/>
    </row>
    <row r="8" spans="1:18" s="1029" customFormat="1" ht="12.75" thickBot="1">
      <c r="A8" s="1030">
        <v>1</v>
      </c>
      <c r="B8" s="1031"/>
      <c r="C8" s="1031">
        <v>2</v>
      </c>
      <c r="D8" s="1032">
        <v>3</v>
      </c>
      <c r="E8" s="977">
        <v>4</v>
      </c>
      <c r="F8" s="1033">
        <v>5</v>
      </c>
      <c r="G8" s="1034">
        <v>6</v>
      </c>
      <c r="H8" s="1035">
        <v>7</v>
      </c>
      <c r="I8" s="1036">
        <v>8</v>
      </c>
      <c r="J8" s="1037">
        <v>9</v>
      </c>
      <c r="K8" s="1032">
        <v>10</v>
      </c>
      <c r="L8" s="1038">
        <v>11</v>
      </c>
      <c r="M8" s="1030">
        <v>8</v>
      </c>
      <c r="N8" s="1038">
        <v>9</v>
      </c>
      <c r="O8" s="1038">
        <v>10</v>
      </c>
      <c r="P8" s="1039">
        <v>11</v>
      </c>
      <c r="Q8" s="1034"/>
      <c r="R8" s="1040"/>
    </row>
    <row r="9" spans="1:24" s="1057" customFormat="1" ht="12" thickBot="1">
      <c r="A9" s="1041"/>
      <c r="B9" s="1042"/>
      <c r="C9" s="1043"/>
      <c r="D9" s="1044"/>
      <c r="E9" s="1045" t="s">
        <v>367</v>
      </c>
      <c r="F9" s="1046">
        <f>'[2]Summary'!E9/15.6466</f>
        <v>9828887.302608874</v>
      </c>
      <c r="G9" s="1047">
        <f>'[2]Summary'!F9/15.6466</f>
        <v>13315553.666611277</v>
      </c>
      <c r="H9" s="1048">
        <f>'[2]Summary'!G9/15.6466</f>
        <v>9076357.835823758</v>
      </c>
      <c r="I9" s="1048">
        <f>'[2]Summary'!H9/15.6466</f>
        <v>11934150.638029989</v>
      </c>
      <c r="J9" s="1049">
        <f>J10+J55+J67+J96+J106+J114+J126+J135+J181+J213</f>
        <v>8596930.115181573</v>
      </c>
      <c r="K9" s="1050">
        <f>K10+K55+K67+K96+K106+K114+K126+K135+K181+K213</f>
        <v>3074730.8575999998</v>
      </c>
      <c r="L9" s="1051">
        <f>L10+L55+L67+L96+L106+L114+L126+L135+L181+L213</f>
        <v>11671659.204282347</v>
      </c>
      <c r="M9" s="1052">
        <f>M10+M55+M67+M96+M106+M114+M126+M135+M181+M213</f>
        <v>2229098.08</v>
      </c>
      <c r="N9" s="1052">
        <f>N10+N55+N67+N96+N106+N114+N126+N135+N181+N213</f>
        <v>13900757.244912772</v>
      </c>
      <c r="O9" s="1053" t="e">
        <f>O10+O52+O67+O55+O96+O106+O124+O135+O181+O213+O114+O126</f>
        <v>#REF!</v>
      </c>
      <c r="P9" s="1054" t="e">
        <f>P10+P52+P67+P55+P96+P106+P124+P135+P181+P213+P114+P126</f>
        <v>#REF!</v>
      </c>
      <c r="Q9" s="1055">
        <f>I9-F9</f>
        <v>2105263.335421115</v>
      </c>
      <c r="R9" s="1056">
        <f>N9/I9%</f>
        <v>116.47881501190282</v>
      </c>
      <c r="U9" s="1058"/>
      <c r="X9" s="1058"/>
    </row>
    <row r="10" spans="1:24" s="1074" customFormat="1" ht="13.5" customHeight="1">
      <c r="A10" s="1059" t="s">
        <v>368</v>
      </c>
      <c r="B10" s="1060"/>
      <c r="C10" s="1061"/>
      <c r="D10" s="1062"/>
      <c r="E10" s="1063" t="s">
        <v>369</v>
      </c>
      <c r="F10" s="1064">
        <f>'[2]Summary'!E10/15.6466</f>
        <v>1829269.4200017897</v>
      </c>
      <c r="G10" s="1064">
        <f>'[2]Summary'!F10/15.6466</f>
        <v>1579236.1918883335</v>
      </c>
      <c r="H10" s="1065">
        <f>'[2]Summary'!G10/15.6466</f>
        <v>1653715.8488106045</v>
      </c>
      <c r="I10" s="1065">
        <f>'[2]Summary'!H10/15.6466</f>
        <v>1755506.865389286</v>
      </c>
      <c r="J10" s="1066">
        <f>J12+J13+J38+J30+J29+J18</f>
        <v>1746289.6202753317</v>
      </c>
      <c r="K10" s="1067">
        <f>K12+K13+K18+K38+K30+K29</f>
        <v>-44831.44</v>
      </c>
      <c r="L10" s="1068">
        <f>L12+L13+L38+L30+L29+L18</f>
        <v>1701456.6544614166</v>
      </c>
      <c r="M10" s="1069">
        <f>M12+M13+M18+M38+M30</f>
        <v>291091.36</v>
      </c>
      <c r="N10" s="1069">
        <f>N12+N13+N18+N38+N30</f>
        <v>1992548.0144614168</v>
      </c>
      <c r="O10" s="1070">
        <f>O12+O13+O18+O38+O30</f>
        <v>0</v>
      </c>
      <c r="P10" s="1071">
        <f>P12+P13+P18+P38+P30</f>
        <v>1439762.419884192</v>
      </c>
      <c r="Q10" s="1072">
        <f aca="true" t="shared" si="0" ref="Q10:Q77">I10-F10</f>
        <v>-73762.55461250362</v>
      </c>
      <c r="R10" s="1073">
        <f>N10/I10%</f>
        <v>113.50271843109918</v>
      </c>
      <c r="U10" s="1058"/>
      <c r="V10" s="1057"/>
      <c r="W10" s="1057"/>
      <c r="X10" s="1058"/>
    </row>
    <row r="11" spans="3:24" ht="12.75" customHeight="1">
      <c r="C11" s="1077"/>
      <c r="D11" s="1078"/>
      <c r="E11" s="1079" t="s">
        <v>370</v>
      </c>
      <c r="F11" s="1080">
        <f>'[2]Summary'!E11/15.6466</f>
        <v>0</v>
      </c>
      <c r="G11" s="1080">
        <f>'[2]Summary'!F11/15.6466</f>
        <v>0</v>
      </c>
      <c r="H11" s="1081"/>
      <c r="I11" s="1081"/>
      <c r="J11" s="1082"/>
      <c r="K11" s="1083"/>
      <c r="L11" s="1084"/>
      <c r="M11" s="1085"/>
      <c r="N11" s="1086"/>
      <c r="O11" s="1087"/>
      <c r="P11" s="1088"/>
      <c r="Q11" s="1089"/>
      <c r="R11" s="1090"/>
      <c r="S11" s="1074"/>
      <c r="U11" s="1058"/>
      <c r="V11" s="1057"/>
      <c r="W11" s="1057"/>
      <c r="X11" s="1058"/>
    </row>
    <row r="12" spans="1:24" s="1101" customFormat="1" ht="12">
      <c r="A12" s="1091" t="s">
        <v>371</v>
      </c>
      <c r="B12" s="1092"/>
      <c r="C12" s="1093"/>
      <c r="D12" s="1094"/>
      <c r="E12" s="1095" t="s">
        <v>372</v>
      </c>
      <c r="F12" s="1080">
        <f>'[2]Summary'!E12/15.6466</f>
        <v>118872.47261385861</v>
      </c>
      <c r="G12" s="1080">
        <f>'[2]Summary'!F12/15.6466</f>
        <v>126930.45134406198</v>
      </c>
      <c r="H12" s="1081">
        <f>'[2]Summary'!G12/15.6466</f>
        <v>124609.85006327253</v>
      </c>
      <c r="I12" s="1081">
        <f>'[2]Summary'!H12/15.6466</f>
        <v>127230.2276532921</v>
      </c>
      <c r="J12" s="1082">
        <f>'[2]Summary'!I12/15.6466</f>
        <v>124124.96005521968</v>
      </c>
      <c r="K12" s="1096">
        <f>'[4]volikogu'!L231</f>
        <v>1629.6</v>
      </c>
      <c r="L12" s="1084">
        <f>J12+K12</f>
        <v>125754.56005521968</v>
      </c>
      <c r="M12" s="1097">
        <f>'[4]volikogu'!P231</f>
        <v>1070</v>
      </c>
      <c r="N12" s="1098">
        <f>'[4]volikogu'!Q231</f>
        <v>126824.56005521967</v>
      </c>
      <c r="O12" s="1097">
        <f>'[4]volikogu'!T231</f>
        <v>0</v>
      </c>
      <c r="P12" s="1099">
        <f>'[4]volikogu'!U231</f>
        <v>125702.66788695309</v>
      </c>
      <c r="Q12" s="1089">
        <f t="shared" si="0"/>
        <v>8357.755039433483</v>
      </c>
      <c r="R12" s="1090">
        <f aca="true" t="shared" si="1" ref="R12:R18">N12/I12%</f>
        <v>99.68115470234173</v>
      </c>
      <c r="S12" s="1100"/>
      <c r="U12" s="1058"/>
      <c r="V12" s="1057"/>
      <c r="W12" s="1057"/>
      <c r="X12" s="1058"/>
    </row>
    <row r="13" spans="1:24" s="1111" customFormat="1" ht="11.25">
      <c r="A13" s="1102" t="s">
        <v>373</v>
      </c>
      <c r="B13" s="1103"/>
      <c r="C13" s="1104"/>
      <c r="D13" s="1105"/>
      <c r="E13" s="1106" t="s">
        <v>374</v>
      </c>
      <c r="F13" s="1080">
        <f>'[2]Summary'!E13/15.6466</f>
        <v>1118027.2951951222</v>
      </c>
      <c r="G13" s="1080">
        <f>'[2]Summary'!F13/15.6466</f>
        <v>1028260.4527501183</v>
      </c>
      <c r="H13" s="1081">
        <f>'[2]Summary'!G13/15.6466</f>
        <v>977491.0153004489</v>
      </c>
      <c r="I13" s="1080">
        <f>'[2]Summary'!H13/15.6466</f>
        <v>979686.0174095333</v>
      </c>
      <c r="J13" s="1081">
        <f aca="true" t="shared" si="2" ref="J13:P13">SUM(J14:J17)</f>
        <v>873247.2321526723</v>
      </c>
      <c r="K13" s="1083">
        <f t="shared" si="2"/>
        <v>13728.96</v>
      </c>
      <c r="L13" s="1107">
        <f t="shared" si="2"/>
        <v>886975.1921526721</v>
      </c>
      <c r="M13" s="1108">
        <f t="shared" si="2"/>
        <v>33212.36</v>
      </c>
      <c r="N13" s="1107">
        <f t="shared" si="2"/>
        <v>920187.5521526721</v>
      </c>
      <c r="O13" s="1109">
        <f t="shared" si="2"/>
        <v>0</v>
      </c>
      <c r="P13" s="1110">
        <f t="shared" si="2"/>
        <v>880615.5091585392</v>
      </c>
      <c r="Q13" s="1089">
        <f t="shared" si="0"/>
        <v>-138341.277785589</v>
      </c>
      <c r="R13" s="1090">
        <f t="shared" si="1"/>
        <v>93.92678223435445</v>
      </c>
      <c r="U13" s="1058"/>
      <c r="V13" s="1057"/>
      <c r="W13" s="1057"/>
      <c r="X13" s="1058"/>
    </row>
    <row r="14" spans="1:24" s="1101" customFormat="1" ht="12">
      <c r="A14" s="1091" t="s">
        <v>375</v>
      </c>
      <c r="B14" s="1092"/>
      <c r="C14" s="1093"/>
      <c r="D14" s="1094"/>
      <c r="E14" s="1095" t="s">
        <v>376</v>
      </c>
      <c r="F14" s="1080">
        <f>'[2]Summary'!E14/15.6466</f>
        <v>812710.5334705303</v>
      </c>
      <c r="G14" s="1080">
        <f>'[2]Summary'!F14/15.6466</f>
        <v>869249.5494228778</v>
      </c>
      <c r="H14" s="1081">
        <f>'[2]Summary'!G14/15.6466</f>
        <v>847263.7582605807</v>
      </c>
      <c r="I14" s="1081">
        <f>'[2]Summary'!H14/15.6466</f>
        <v>848774.6500837244</v>
      </c>
      <c r="J14" s="1082">
        <f>'[4]linnavalitsus'!J201</f>
        <v>850236.584472026</v>
      </c>
      <c r="K14" s="1096">
        <f>'[4]linnavalitsus'!M201</f>
        <v>13440</v>
      </c>
      <c r="L14" s="1112">
        <f>'[4]linnavalitsus'!N201</f>
        <v>863675.5844720259</v>
      </c>
      <c r="M14" s="1097">
        <f>'[4]linnavalitsus'!Q201</f>
        <v>32956</v>
      </c>
      <c r="N14" s="1086">
        <f>L14+M14</f>
        <v>896631.5844720259</v>
      </c>
      <c r="O14" s="1097">
        <f>'[4]linnavalitsus'!U201</f>
        <v>0</v>
      </c>
      <c r="P14" s="1099">
        <f>'[4]linnavalitsus'!V201</f>
        <v>862647.3324939604</v>
      </c>
      <c r="Q14" s="1089">
        <f t="shared" si="0"/>
        <v>36064.11661319411</v>
      </c>
      <c r="R14" s="1090">
        <f t="shared" si="1"/>
        <v>105.63835576187164</v>
      </c>
      <c r="S14" s="1100"/>
      <c r="U14" s="1058"/>
      <c r="V14" s="1057"/>
      <c r="W14" s="1057"/>
      <c r="X14" s="1058"/>
    </row>
    <row r="15" spans="1:24" s="1118" customFormat="1" ht="12" hidden="1">
      <c r="A15" s="1091" t="s">
        <v>377</v>
      </c>
      <c r="B15" s="1092"/>
      <c r="C15" s="1113"/>
      <c r="D15" s="1114"/>
      <c r="E15" s="1095" t="s">
        <v>378</v>
      </c>
      <c r="F15" s="1080">
        <f>'[2]Summary'!E15/15.6466</f>
        <v>125848.06092058339</v>
      </c>
      <c r="G15" s="1080">
        <f>'[2]Summary'!F15/15.6466</f>
        <v>26782.679687599863</v>
      </c>
      <c r="H15" s="1081">
        <f>'[2]Summary'!G15/15.6466</f>
        <v>0</v>
      </c>
      <c r="I15" s="1081">
        <f>'[2]Summary'!H15/15.6466</f>
        <v>0</v>
      </c>
      <c r="J15" s="1082">
        <f>'[2]Summary'!I15/15.6466</f>
        <v>0</v>
      </c>
      <c r="K15" s="1096">
        <f>'[4]register_arhitektuur'!J228</f>
        <v>0</v>
      </c>
      <c r="L15" s="1112">
        <f>'[4]register_arhitektuur'!K228</f>
        <v>0</v>
      </c>
      <c r="M15" s="1097">
        <f>'[4]register_arhitektuur'!N228</f>
        <v>0</v>
      </c>
      <c r="N15" s="1086">
        <f>L15+M15</f>
        <v>0</v>
      </c>
      <c r="O15" s="1115">
        <f>'[4]register_arhitektuur'!R228</f>
        <v>0</v>
      </c>
      <c r="P15" s="1116">
        <f>'[4]register_arhitektuur'!S228</f>
        <v>0</v>
      </c>
      <c r="Q15" s="1089">
        <f t="shared" si="0"/>
        <v>-125848.06092058339</v>
      </c>
      <c r="R15" s="1090" t="e">
        <f t="shared" si="1"/>
        <v>#DIV/0!</v>
      </c>
      <c r="S15" s="1117"/>
      <c r="U15" s="1058"/>
      <c r="V15" s="1057"/>
      <c r="W15" s="1057"/>
      <c r="X15" s="1058"/>
    </row>
    <row r="16" spans="1:24" s="1118" customFormat="1" ht="12" hidden="1">
      <c r="A16" s="1102" t="s">
        <v>373</v>
      </c>
      <c r="B16" s="1103"/>
      <c r="C16" s="1113"/>
      <c r="D16" s="1114"/>
      <c r="E16" s="1095" t="s">
        <v>379</v>
      </c>
      <c r="F16" s="1080">
        <f>'[2]Summary'!E16/15.6466</f>
        <v>155203.35069599785</v>
      </c>
      <c r="G16" s="1080">
        <f>'[2]Summary'!F16/15.6466</f>
        <v>107962.80003323406</v>
      </c>
      <c r="H16" s="1081">
        <f>'[2]Summary'!G16/15.6466</f>
        <v>106787.46820395486</v>
      </c>
      <c r="I16" s="1081">
        <f>'[2]Summary'!H16/15.6466</f>
        <v>106787.46820395486</v>
      </c>
      <c r="J16" s="1082">
        <f>'[2]Summary'!I16/15.6466</f>
        <v>0</v>
      </c>
      <c r="K16" s="1096">
        <f>'[4]asjaajamis'!L228</f>
        <v>0</v>
      </c>
      <c r="L16" s="1084">
        <f>J16+K16</f>
        <v>0</v>
      </c>
      <c r="M16" s="1119">
        <f>'[4]asjaajamis'!P228</f>
        <v>0</v>
      </c>
      <c r="N16" s="1086">
        <f>L16+M16</f>
        <v>0</v>
      </c>
      <c r="O16" s="1115"/>
      <c r="P16" s="1116"/>
      <c r="Q16" s="1089">
        <f t="shared" si="0"/>
        <v>-48415.88249204299</v>
      </c>
      <c r="R16" s="1090">
        <f t="shared" si="1"/>
        <v>0</v>
      </c>
      <c r="S16" s="1117"/>
      <c r="U16" s="1058"/>
      <c r="V16" s="1057"/>
      <c r="W16" s="1057"/>
      <c r="X16" s="1058"/>
    </row>
    <row r="17" spans="1:24" s="1121" customFormat="1" ht="12">
      <c r="A17" s="1102" t="s">
        <v>380</v>
      </c>
      <c r="B17" s="1103"/>
      <c r="C17" s="1104"/>
      <c r="D17" s="1105"/>
      <c r="E17" s="1120" t="s">
        <v>381</v>
      </c>
      <c r="F17" s="1080">
        <f>'[2]Summary'!E17/15.6466</f>
        <v>24265.414019659223</v>
      </c>
      <c r="G17" s="1080">
        <f>'[2]Summary'!F17/15.6466</f>
        <v>24265.414019659223</v>
      </c>
      <c r="H17" s="1081">
        <f>'[2]Summary'!G17/15.6466</f>
        <v>23439.788835913234</v>
      </c>
      <c r="I17" s="1081">
        <f>'[2]Summary'!H17/15.6466</f>
        <v>24123.89912185395</v>
      </c>
      <c r="J17" s="1082">
        <f>'[2]Summary'!I17/15.6466</f>
        <v>23010.647680646278</v>
      </c>
      <c r="K17" s="1096">
        <f>'[4]arhiiv'!N227</f>
        <v>288.96000000000004</v>
      </c>
      <c r="L17" s="1084">
        <f>'[4]arhiiv'!O227</f>
        <v>23299.607680646277</v>
      </c>
      <c r="M17" s="1097">
        <f>'[4]arhiiv'!R227</f>
        <v>256.36</v>
      </c>
      <c r="N17" s="1086">
        <f>L17+M17</f>
        <v>23555.967680646278</v>
      </c>
      <c r="O17" s="1115">
        <f>'[4]arhiiv'!V227</f>
        <v>0</v>
      </c>
      <c r="P17" s="1116">
        <f>'[4]arhiiv'!W227</f>
        <v>17968.17666457889</v>
      </c>
      <c r="Q17" s="1089">
        <f t="shared" si="0"/>
        <v>-141.5148978052748</v>
      </c>
      <c r="R17" s="1090">
        <f t="shared" si="1"/>
        <v>97.64577260774075</v>
      </c>
      <c r="S17" s="1111"/>
      <c r="U17" s="1058"/>
      <c r="V17" s="1057"/>
      <c r="W17" s="1057"/>
      <c r="X17" s="1058"/>
    </row>
    <row r="18" spans="1:24" s="1101" customFormat="1" ht="11.25">
      <c r="A18" s="1091" t="s">
        <v>382</v>
      </c>
      <c r="B18" s="1092"/>
      <c r="C18" s="1093"/>
      <c r="D18" s="1094"/>
      <c r="E18" s="1095" t="s">
        <v>383</v>
      </c>
      <c r="F18" s="1080">
        <f>'[2]Summary'!E18/15.6466</f>
        <v>300384.7481241931</v>
      </c>
      <c r="G18" s="1080">
        <f>'[2]Summary'!F18/15.6466</f>
        <v>118111.79425562103</v>
      </c>
      <c r="H18" s="1081">
        <f>'[2]Summary'!G18/15.6466</f>
        <v>301881.6228445797</v>
      </c>
      <c r="I18" s="1080">
        <f>'[2]Summary'!H18/15.6466</f>
        <v>396537.26688226196</v>
      </c>
      <c r="J18" s="1122">
        <f aca="true" t="shared" si="3" ref="J18:P18">SUM(J20:J27)</f>
        <v>594360.7686526147</v>
      </c>
      <c r="K18" s="1096">
        <f t="shared" si="3"/>
        <v>-77190</v>
      </c>
      <c r="L18" s="1112">
        <f t="shared" si="3"/>
        <v>517170.7686526146</v>
      </c>
      <c r="M18" s="1097">
        <f t="shared" si="3"/>
        <v>323017</v>
      </c>
      <c r="N18" s="1097">
        <f t="shared" si="3"/>
        <v>840187.7686526147</v>
      </c>
      <c r="O18" s="1097">
        <f t="shared" si="3"/>
        <v>0</v>
      </c>
      <c r="P18" s="1099">
        <f t="shared" si="3"/>
        <v>385555.7686526146</v>
      </c>
      <c r="Q18" s="1089">
        <f t="shared" si="0"/>
        <v>96152.51875806885</v>
      </c>
      <c r="R18" s="1090">
        <f t="shared" si="1"/>
        <v>211.88116195446503</v>
      </c>
      <c r="S18" s="1100"/>
      <c r="U18" s="1058"/>
      <c r="V18" s="1057"/>
      <c r="W18" s="1057"/>
      <c r="X18" s="1058"/>
    </row>
    <row r="19" spans="1:24" ht="12">
      <c r="A19" s="1123"/>
      <c r="B19" s="1124"/>
      <c r="C19" s="1125"/>
      <c r="D19" s="1126"/>
      <c r="E19" s="1127" t="s">
        <v>370</v>
      </c>
      <c r="F19" s="1080">
        <f>'[2]Summary'!E19/15.6466</f>
        <v>0</v>
      </c>
      <c r="G19" s="1080">
        <f>'[2]Summary'!F19/15.6466</f>
        <v>0</v>
      </c>
      <c r="H19" s="1081">
        <f>'[2]Summary'!G19/15.6466</f>
        <v>0</v>
      </c>
      <c r="I19" s="1081">
        <f>'[2]Summary'!H19/15.6466</f>
        <v>0</v>
      </c>
      <c r="J19" s="1082">
        <f>'[2]Summary'!I19/15.6466</f>
        <v>0</v>
      </c>
      <c r="K19" s="1128"/>
      <c r="L19" s="1084"/>
      <c r="M19" s="1129"/>
      <c r="N19" s="1086"/>
      <c r="O19" s="1087"/>
      <c r="P19" s="1130"/>
      <c r="Q19" s="1089"/>
      <c r="R19" s="1090"/>
      <c r="S19" s="1074"/>
      <c r="U19" s="1058"/>
      <c r="V19" s="1057"/>
      <c r="W19" s="1057"/>
      <c r="X19" s="1058"/>
    </row>
    <row r="20" spans="1:24" ht="12.75" customHeight="1">
      <c r="A20" s="1123"/>
      <c r="B20" s="1124"/>
      <c r="C20" s="1125"/>
      <c r="D20" s="1131"/>
      <c r="E20" s="1127" t="s">
        <v>384</v>
      </c>
      <c r="F20" s="1080">
        <f>'[2]Summary'!E20/15.6466</f>
        <v>191734.9456111871</v>
      </c>
      <c r="G20" s="1080">
        <f>'[2]Summary'!F20/15.6466</f>
        <v>170007.03028133907</v>
      </c>
      <c r="H20" s="1081">
        <f>'[2]Summary'!G20/15.6466</f>
        <v>138906.91907507062</v>
      </c>
      <c r="I20" s="1081">
        <f>'[2]Summary'!H20/15.6466</f>
        <v>290895.9774008411</v>
      </c>
      <c r="J20" s="1082">
        <f>'[2]Summary'!I20/15.6466</f>
        <v>274802.7686526146</v>
      </c>
      <c r="K20" s="1128">
        <f>-63286+1665-8117-8924+1472</f>
        <v>-77190</v>
      </c>
      <c r="L20" s="1084">
        <f aca="true" t="shared" si="4" ref="L20:L27">J20+K20</f>
        <v>197612.7686526146</v>
      </c>
      <c r="M20" s="1129">
        <f>334531+32789+399-49-3056+25450-959-7250-63912-130000</f>
        <v>187943</v>
      </c>
      <c r="N20" s="1086">
        <f>L20+M20</f>
        <v>385555.7686526146</v>
      </c>
      <c r="O20" s="1087"/>
      <c r="P20" s="1130">
        <f>N20+O20</f>
        <v>385555.7686526146</v>
      </c>
      <c r="Q20" s="1089">
        <f t="shared" si="0"/>
        <v>99161.03178965396</v>
      </c>
      <c r="R20" s="1090">
        <f>N20/I20%</f>
        <v>132.5407701053689</v>
      </c>
      <c r="S20" s="1074"/>
      <c r="U20" s="1058"/>
      <c r="V20" s="1057"/>
      <c r="W20" s="1057"/>
      <c r="X20" s="1058"/>
    </row>
    <row r="21" spans="1:24" ht="13.5" customHeight="1" hidden="1">
      <c r="A21" s="1123"/>
      <c r="B21" s="1124"/>
      <c r="C21" s="1125"/>
      <c r="D21" s="1126"/>
      <c r="E21" s="1127" t="s">
        <v>385</v>
      </c>
      <c r="F21" s="1080">
        <f>'[2]Summary'!E21/15.6466</f>
        <v>0</v>
      </c>
      <c r="G21" s="1080">
        <f>'[2]Summary'!F21/15.6466</f>
        <v>0</v>
      </c>
      <c r="H21" s="1081">
        <f>'[2]Summary'!G21/15.6466</f>
        <v>0</v>
      </c>
      <c r="I21" s="1081">
        <f>'[2]Summary'!H21/15.6466</f>
        <v>4729.461991742615</v>
      </c>
      <c r="J21" s="1082">
        <f>'[2]Summary'!I21/15.6466</f>
        <v>0</v>
      </c>
      <c r="K21" s="1128"/>
      <c r="L21" s="1084">
        <f t="shared" si="4"/>
        <v>0</v>
      </c>
      <c r="M21" s="1129"/>
      <c r="N21" s="1086">
        <f aca="true" t="shared" si="5" ref="N21:N29">L21+M21</f>
        <v>0</v>
      </c>
      <c r="O21" s="1087"/>
      <c r="P21" s="1130">
        <f>N21+O21</f>
        <v>0</v>
      </c>
      <c r="Q21" s="1089"/>
      <c r="R21" s="1090"/>
      <c r="S21" s="1074"/>
      <c r="U21" s="1058"/>
      <c r="V21" s="1057"/>
      <c r="W21" s="1057"/>
      <c r="X21" s="1058"/>
    </row>
    <row r="22" spans="1:24" ht="12" hidden="1">
      <c r="A22" s="1123"/>
      <c r="B22" s="1124"/>
      <c r="C22" s="1125"/>
      <c r="D22" s="1126"/>
      <c r="E22" s="1127" t="s">
        <v>386</v>
      </c>
      <c r="F22" s="1080">
        <f>'[2]Summary'!E22/15.6466</f>
        <v>0</v>
      </c>
      <c r="G22" s="1080">
        <f>'[2]Summary'!F22/15.6466</f>
        <v>0</v>
      </c>
      <c r="H22" s="1081">
        <f>'[2]Summary'!G22/15.6466</f>
        <v>0</v>
      </c>
      <c r="I22" s="1081">
        <f>'[2]Summary'!H22/15.6466</f>
        <v>0</v>
      </c>
      <c r="J22" s="1082">
        <f>'[2]Summary'!I22/15.6466</f>
        <v>0</v>
      </c>
      <c r="K22" s="1128"/>
      <c r="L22" s="1084">
        <f t="shared" si="4"/>
        <v>0</v>
      </c>
      <c r="M22" s="1129"/>
      <c r="N22" s="1086">
        <f t="shared" si="5"/>
        <v>0</v>
      </c>
      <c r="O22" s="1087"/>
      <c r="P22" s="1130"/>
      <c r="Q22" s="1089"/>
      <c r="R22" s="1090"/>
      <c r="S22" s="1074"/>
      <c r="U22" s="1058"/>
      <c r="V22" s="1057"/>
      <c r="W22" s="1057"/>
      <c r="X22" s="1058"/>
    </row>
    <row r="23" spans="1:24" ht="12" hidden="1">
      <c r="A23" s="1123"/>
      <c r="B23" s="1124"/>
      <c r="C23" s="1125"/>
      <c r="D23" s="1126"/>
      <c r="E23" s="1127" t="s">
        <v>387</v>
      </c>
      <c r="F23" s="1080">
        <f>'[2]Summary'!E23/15.6466</f>
        <v>0</v>
      </c>
      <c r="G23" s="1080">
        <f>'[2]Summary'!F23/15.6466</f>
        <v>0</v>
      </c>
      <c r="H23" s="1081">
        <f>'[2]Summary'!G23/15.6466</f>
        <v>0</v>
      </c>
      <c r="I23" s="1081">
        <f>'[2]Summary'!H23/15.6466</f>
        <v>7669.397824447484</v>
      </c>
      <c r="J23" s="1082">
        <f>'[2]Summary'!I23/15.6466</f>
        <v>0</v>
      </c>
      <c r="K23" s="1128"/>
      <c r="L23" s="1084">
        <f t="shared" si="4"/>
        <v>0</v>
      </c>
      <c r="M23" s="1129"/>
      <c r="N23" s="1086">
        <f>L23+M23</f>
        <v>0</v>
      </c>
      <c r="O23" s="1087"/>
      <c r="P23" s="1130"/>
      <c r="Q23" s="1089"/>
      <c r="R23" s="1090"/>
      <c r="S23" s="1074"/>
      <c r="U23" s="1058"/>
      <c r="V23" s="1057"/>
      <c r="W23" s="1057"/>
      <c r="X23" s="1058"/>
    </row>
    <row r="24" spans="1:24" ht="12">
      <c r="A24" s="1123"/>
      <c r="B24" s="1124"/>
      <c r="C24" s="1125"/>
      <c r="D24" s="1126"/>
      <c r="E24" s="1127" t="s">
        <v>388</v>
      </c>
      <c r="F24" s="1080">
        <f>'[2]Summary'!E24/15.6466</f>
        <v>0</v>
      </c>
      <c r="G24" s="1080">
        <f>'[2]Summary'!F24/15.6466</f>
        <v>0</v>
      </c>
      <c r="H24" s="1081">
        <f>'[2]Summary'!G24/15.6466</f>
        <v>0</v>
      </c>
      <c r="I24" s="1081">
        <f>'[2]Summary'!H24/15.6466</f>
        <v>0</v>
      </c>
      <c r="J24" s="1082">
        <v>319558</v>
      </c>
      <c r="K24" s="1128"/>
      <c r="L24" s="1084">
        <f t="shared" si="4"/>
        <v>319558</v>
      </c>
      <c r="M24" s="1129">
        <f>63912+7250+63912</f>
        <v>135074</v>
      </c>
      <c r="N24" s="1086">
        <f>L24+M24</f>
        <v>454632</v>
      </c>
      <c r="O24" s="1087"/>
      <c r="P24" s="1130"/>
      <c r="Q24" s="1089">
        <f t="shared" si="0"/>
        <v>0</v>
      </c>
      <c r="R24" s="1090"/>
      <c r="S24" s="1074"/>
      <c r="U24" s="1058"/>
      <c r="V24" s="1057"/>
      <c r="W24" s="1057"/>
      <c r="X24" s="1058"/>
    </row>
    <row r="25" spans="1:24" ht="12" hidden="1">
      <c r="A25" s="1123"/>
      <c r="B25" s="1124"/>
      <c r="C25" s="1125"/>
      <c r="D25" s="1126"/>
      <c r="E25" s="1127" t="s">
        <v>389</v>
      </c>
      <c r="F25" s="1080">
        <f>'[2]Summary'!E25/15.6466</f>
        <v>108649.80251300603</v>
      </c>
      <c r="G25" s="1080">
        <f>'[2]Summary'!F25/15.6466</f>
        <v>-51895.23602571805</v>
      </c>
      <c r="H25" s="1081">
        <f>'[2]Summary'!G25/15.6466</f>
        <v>51129.31882964989</v>
      </c>
      <c r="I25" s="1081">
        <f>'[2]Summary'!H25/15.6466</f>
        <v>15977.912134265593</v>
      </c>
      <c r="J25" s="1082">
        <f>'[2]Summary'!I25/15.6466</f>
        <v>0</v>
      </c>
      <c r="K25" s="1128"/>
      <c r="L25" s="1084">
        <f t="shared" si="4"/>
        <v>0</v>
      </c>
      <c r="M25" s="1129"/>
      <c r="N25" s="1086">
        <f t="shared" si="5"/>
        <v>0</v>
      </c>
      <c r="O25" s="1087"/>
      <c r="P25" s="1130"/>
      <c r="Q25" s="1089">
        <f t="shared" si="0"/>
        <v>-92671.89037874044</v>
      </c>
      <c r="R25" s="1090"/>
      <c r="S25" s="1074"/>
      <c r="U25" s="1058"/>
      <c r="V25" s="1057"/>
      <c r="W25" s="1057"/>
      <c r="X25" s="1058"/>
    </row>
    <row r="26" spans="1:24" ht="13.5" customHeight="1" hidden="1">
      <c r="A26" s="1123"/>
      <c r="B26" s="1124"/>
      <c r="C26" s="1125"/>
      <c r="D26" s="1126"/>
      <c r="E26" s="1127" t="s">
        <v>390</v>
      </c>
      <c r="F26" s="1080">
        <f>'[2]Summary'!E26/15.6466</f>
        <v>0</v>
      </c>
      <c r="G26" s="1080">
        <f>'[2]Summary'!F26/15.6466</f>
        <v>0</v>
      </c>
      <c r="H26" s="1081">
        <f>'[2]Summary'!G26/15.6466</f>
        <v>0</v>
      </c>
      <c r="I26" s="1081">
        <f>'[2]Summary'!H26/15.6466</f>
        <v>61286.605396699604</v>
      </c>
      <c r="J26" s="1082">
        <f>'[2]Summary'!I26/15.6466</f>
        <v>0</v>
      </c>
      <c r="K26" s="1128"/>
      <c r="L26" s="1084">
        <f t="shared" si="4"/>
        <v>0</v>
      </c>
      <c r="M26" s="1129"/>
      <c r="N26" s="1086">
        <f t="shared" si="5"/>
        <v>0</v>
      </c>
      <c r="O26" s="1087"/>
      <c r="P26" s="1130">
        <f>N26+O26</f>
        <v>0</v>
      </c>
      <c r="Q26" s="1089">
        <f t="shared" si="0"/>
        <v>61286.605396699604</v>
      </c>
      <c r="R26" s="1090">
        <f>N26/I26%</f>
        <v>0</v>
      </c>
      <c r="S26" s="1074"/>
      <c r="U26" s="1058"/>
      <c r="V26" s="1057"/>
      <c r="W26" s="1057"/>
      <c r="X26" s="1058"/>
    </row>
    <row r="27" spans="1:24" ht="12" hidden="1">
      <c r="A27" s="1123"/>
      <c r="B27" s="1124"/>
      <c r="C27" s="1125"/>
      <c r="D27" s="1126"/>
      <c r="E27" s="1127" t="s">
        <v>391</v>
      </c>
      <c r="F27" s="1080">
        <f>'[2]Summary'!E27/15.6466</f>
        <v>0</v>
      </c>
      <c r="G27" s="1080">
        <f>'[2]Summary'!F27/15.6466</f>
        <v>0</v>
      </c>
      <c r="H27" s="1081">
        <f>'[2]Summary'!G27/15.6466</f>
        <v>15977.912134265593</v>
      </c>
      <c r="I27" s="1081">
        <f>'[2]Summary'!H27/15.6466</f>
        <v>15977.912134265593</v>
      </c>
      <c r="J27" s="1082">
        <f>'[2]Summary'!I27/15.6466</f>
        <v>0</v>
      </c>
      <c r="K27" s="1128"/>
      <c r="L27" s="1084">
        <f t="shared" si="4"/>
        <v>0</v>
      </c>
      <c r="M27" s="1129"/>
      <c r="N27" s="1086">
        <f t="shared" si="5"/>
        <v>0</v>
      </c>
      <c r="O27" s="1087"/>
      <c r="P27" s="1130">
        <f>N27+O27</f>
        <v>0</v>
      </c>
      <c r="Q27" s="1089">
        <f t="shared" si="0"/>
        <v>15977.912134265593</v>
      </c>
      <c r="R27" s="1090"/>
      <c r="S27" s="1074"/>
      <c r="U27" s="1058"/>
      <c r="V27" s="1057"/>
      <c r="W27" s="1057"/>
      <c r="X27" s="1058"/>
    </row>
    <row r="28" spans="1:24" ht="12" hidden="1">
      <c r="A28" s="1123"/>
      <c r="B28" s="1124"/>
      <c r="C28" s="1125"/>
      <c r="D28" s="1126"/>
      <c r="E28" s="1127" t="s">
        <v>392</v>
      </c>
      <c r="F28" s="1080">
        <f>'[2]Summary'!E28/15.6466</f>
        <v>0</v>
      </c>
      <c r="G28" s="1080">
        <f>'[2]Summary'!F28/15.6466</f>
        <v>0</v>
      </c>
      <c r="H28" s="1081">
        <f>'[2]Summary'!G28/15.6466</f>
        <v>95867.47280559356</v>
      </c>
      <c r="I28" s="1081">
        <f>'[2]Summary'!H28/15.6466</f>
        <v>0</v>
      </c>
      <c r="J28" s="1082">
        <f>'[2]Summary'!I28/15.6466</f>
        <v>0</v>
      </c>
      <c r="K28" s="1128"/>
      <c r="L28" s="1084"/>
      <c r="M28" s="1129"/>
      <c r="N28" s="1086"/>
      <c r="O28" s="1132"/>
      <c r="P28" s="1133"/>
      <c r="Q28" s="1089"/>
      <c r="R28" s="1090"/>
      <c r="S28" s="1074"/>
      <c r="U28" s="1058"/>
      <c r="V28" s="1057"/>
      <c r="W28" s="1057"/>
      <c r="X28" s="1058"/>
    </row>
    <row r="29" spans="1:24" ht="12">
      <c r="A29" s="1134" t="s">
        <v>393</v>
      </c>
      <c r="B29" s="1135"/>
      <c r="C29" s="1125"/>
      <c r="D29" s="1126"/>
      <c r="E29" s="1106" t="s">
        <v>394</v>
      </c>
      <c r="F29" s="1080">
        <f>'[2]Summary'!E29/15.6466</f>
        <v>0</v>
      </c>
      <c r="G29" s="1080">
        <f>'[2]Summary'!F29/15.6466</f>
        <v>47742.7044853195</v>
      </c>
      <c r="H29" s="1081">
        <f>'[2]Summary'!G29/15.6466</f>
        <v>0</v>
      </c>
      <c r="I29" s="1081">
        <f>'[2]Summary'!H29/15.6466</f>
        <v>97177.66160060333</v>
      </c>
      <c r="J29" s="1082">
        <f>'[2]Summary'!I29/15.6466</f>
        <v>0</v>
      </c>
      <c r="K29" s="1128"/>
      <c r="L29" s="1084">
        <f>K29</f>
        <v>0</v>
      </c>
      <c r="M29" s="1129"/>
      <c r="N29" s="1086">
        <f t="shared" si="5"/>
        <v>0</v>
      </c>
      <c r="O29" s="1132"/>
      <c r="P29" s="1133"/>
      <c r="Q29" s="1089"/>
      <c r="R29" s="1090"/>
      <c r="S29" s="1074"/>
      <c r="U29" s="1058"/>
      <c r="V29" s="1057"/>
      <c r="W29" s="1057"/>
      <c r="X29" s="1058"/>
    </row>
    <row r="30" spans="1:24" s="1101" customFormat="1" ht="12">
      <c r="A30" s="1091" t="s">
        <v>395</v>
      </c>
      <c r="B30" s="1092"/>
      <c r="C30" s="1093"/>
      <c r="D30" s="1136"/>
      <c r="E30" s="1095" t="s">
        <v>394</v>
      </c>
      <c r="F30" s="1080">
        <f>'[2]Summary'!E30/15.6466</f>
        <v>31955.824268531185</v>
      </c>
      <c r="G30" s="1080">
        <f>'[2]Summary'!F30/15.6466</f>
        <v>48990.19595311442</v>
      </c>
      <c r="H30" s="1081">
        <f>'[2]Summary'!G30/15.6466</f>
        <v>25884.21765751026</v>
      </c>
      <c r="I30" s="1081">
        <f>'[2]Summary'!H30/15.6466</f>
        <v>25884.21765751026</v>
      </c>
      <c r="J30" s="1082">
        <f>'[2]Summary'!I30/15.6466</f>
        <v>25564.659414824946</v>
      </c>
      <c r="K30" s="1096">
        <f aca="true" t="shared" si="6" ref="K30:P30">K31+K37</f>
        <v>0</v>
      </c>
      <c r="L30" s="1112">
        <f>L31+L37</f>
        <v>25564.659414824946</v>
      </c>
      <c r="M30" s="1097">
        <f>M31+M37</f>
        <v>6895</v>
      </c>
      <c r="N30" s="1098">
        <f>N31+N37</f>
        <v>32459.659414824946</v>
      </c>
      <c r="O30" s="1097">
        <f t="shared" si="6"/>
        <v>0</v>
      </c>
      <c r="P30" s="1099">
        <f t="shared" si="6"/>
        <v>0</v>
      </c>
      <c r="Q30" s="1089">
        <f t="shared" si="0"/>
        <v>-6071.606611020925</v>
      </c>
      <c r="R30" s="1090">
        <f>N30/I30%</f>
        <v>125.40328567901234</v>
      </c>
      <c r="S30" s="1100"/>
      <c r="U30" s="1058"/>
      <c r="V30" s="1057"/>
      <c r="W30" s="1057"/>
      <c r="X30" s="1058"/>
    </row>
    <row r="31" spans="1:24" s="1101" customFormat="1" ht="12">
      <c r="A31" s="1137" t="s">
        <v>396</v>
      </c>
      <c r="B31" s="1138"/>
      <c r="C31" s="1139">
        <v>4500</v>
      </c>
      <c r="D31" s="1114"/>
      <c r="E31" s="1140" t="s">
        <v>397</v>
      </c>
      <c r="F31" s="1080">
        <f>'[2]Summary'!E31/15.6466</f>
        <v>31955.824268531185</v>
      </c>
      <c r="G31" s="1080">
        <f>'[2]Summary'!F31/15.6466</f>
        <v>24763.910370304093</v>
      </c>
      <c r="H31" s="1081">
        <f>'[2]Summary'!G31/15.6466</f>
        <v>25884.21765751026</v>
      </c>
      <c r="I31" s="1081">
        <f>'[2]Summary'!H31/15.6466</f>
        <v>25884.21765751026</v>
      </c>
      <c r="J31" s="1082">
        <f>'[2]Summary'!I31/15.6466</f>
        <v>25564.659414824946</v>
      </c>
      <c r="K31" s="1083"/>
      <c r="L31" s="1084">
        <f>J31+K31</f>
        <v>25564.659414824946</v>
      </c>
      <c r="M31" s="1097">
        <f>SUM(M33:M36)</f>
        <v>6895</v>
      </c>
      <c r="N31" s="1086">
        <f>L31+M31</f>
        <v>32459.659414824946</v>
      </c>
      <c r="O31" s="1141"/>
      <c r="P31" s="1142"/>
      <c r="Q31" s="1089">
        <f t="shared" si="0"/>
        <v>-6071.606611020925</v>
      </c>
      <c r="R31" s="1090">
        <f>N31/I31%</f>
        <v>125.40328567901234</v>
      </c>
      <c r="S31" s="1100"/>
      <c r="U31" s="1058"/>
      <c r="V31" s="1057"/>
      <c r="W31" s="1057"/>
      <c r="X31" s="1058"/>
    </row>
    <row r="32" spans="1:24" s="1101" customFormat="1" ht="12">
      <c r="A32" s="1123"/>
      <c r="B32" s="1124"/>
      <c r="C32" s="1125"/>
      <c r="D32" s="1105"/>
      <c r="E32" s="1127" t="s">
        <v>370</v>
      </c>
      <c r="F32" s="1080">
        <f>'[2]Summary'!E32/15.6466</f>
        <v>0</v>
      </c>
      <c r="G32" s="1080">
        <f>'[2]Summary'!F32/15.6466</f>
        <v>0</v>
      </c>
      <c r="H32" s="1081">
        <f>'[2]Summary'!G32/15.6466</f>
        <v>0</v>
      </c>
      <c r="I32" s="1081">
        <f>'[2]Summary'!H32/15.6466</f>
        <v>0</v>
      </c>
      <c r="J32" s="1082">
        <f>'[2]Summary'!I32/15.6466</f>
        <v>0</v>
      </c>
      <c r="K32" s="1083"/>
      <c r="L32" s="1107"/>
      <c r="M32" s="1108"/>
      <c r="N32" s="1086"/>
      <c r="O32" s="1141"/>
      <c r="P32" s="1142"/>
      <c r="Q32" s="1089"/>
      <c r="R32" s="1090"/>
      <c r="S32" s="1100"/>
      <c r="U32" s="1058"/>
      <c r="V32" s="1057"/>
      <c r="W32" s="1057"/>
      <c r="X32" s="1058"/>
    </row>
    <row r="33" spans="1:24" s="1101" customFormat="1" ht="12">
      <c r="A33" s="1123"/>
      <c r="B33" s="1124"/>
      <c r="C33" s="1125">
        <v>4500.8</v>
      </c>
      <c r="D33" s="1126"/>
      <c r="E33" s="1127" t="s">
        <v>398</v>
      </c>
      <c r="F33" s="1080">
        <f>'[2]Summary'!E33/15.6466</f>
        <v>6851.328723173086</v>
      </c>
      <c r="G33" s="1080">
        <f>'[2]Summary'!F33/15.6466</f>
        <v>6794.830825866323</v>
      </c>
      <c r="H33" s="1081">
        <f>'[2]Summary'!G33/15.6466</f>
        <v>6838.546393465674</v>
      </c>
      <c r="I33" s="1081">
        <f>'[2]Summary'!H33/15.6466</f>
        <v>6838.546393465674</v>
      </c>
      <c r="J33" s="1082">
        <f>'[2]Summary'!I33/15.6466</f>
        <v>6071.606611020925</v>
      </c>
      <c r="K33" s="1083"/>
      <c r="L33" s="1084">
        <f>J33+K33</f>
        <v>6071.606611020925</v>
      </c>
      <c r="M33" s="1129">
        <v>50</v>
      </c>
      <c r="N33" s="1086">
        <f>L33+M33</f>
        <v>6121.606611020925</v>
      </c>
      <c r="O33" s="1141"/>
      <c r="P33" s="1142"/>
      <c r="Q33" s="1089">
        <f t="shared" si="0"/>
        <v>-12.782329707411918</v>
      </c>
      <c r="R33" s="1090">
        <f>N33/I33%</f>
        <v>89.51619626168224</v>
      </c>
      <c r="S33" s="1100"/>
      <c r="U33" s="1058"/>
      <c r="V33" s="1057"/>
      <c r="W33" s="1057"/>
      <c r="X33" s="1058"/>
    </row>
    <row r="34" spans="1:24" s="1101" customFormat="1" ht="12">
      <c r="A34" s="1123"/>
      <c r="B34" s="1124"/>
      <c r="C34" s="1125">
        <v>4500.8</v>
      </c>
      <c r="D34" s="1126"/>
      <c r="E34" s="1127" t="s">
        <v>399</v>
      </c>
      <c r="F34" s="1080">
        <f>'[2]Summary'!E34/15.6466</f>
        <v>23743.17743151867</v>
      </c>
      <c r="G34" s="1080">
        <f>'[2]Summary'!F34/15.6466</f>
        <v>15655.286132450501</v>
      </c>
      <c r="H34" s="1081">
        <f>'[2]Summary'!G34/15.6466</f>
        <v>16731.877852057318</v>
      </c>
      <c r="I34" s="1081">
        <f>'[2]Summary'!H34/15.6466</f>
        <v>16731.877852057318</v>
      </c>
      <c r="J34" s="1082">
        <f>'[2]Summary'!I34/15.6466</f>
        <v>17224.18928073831</v>
      </c>
      <c r="K34" s="1083"/>
      <c r="L34" s="1084">
        <f>J34+K34</f>
        <v>17224.18928073831</v>
      </c>
      <c r="M34" s="1129">
        <v>6953</v>
      </c>
      <c r="N34" s="1086">
        <f>L34+M34</f>
        <v>24177.18928073831</v>
      </c>
      <c r="O34" s="1141"/>
      <c r="P34" s="1142"/>
      <c r="Q34" s="1089">
        <f t="shared" si="0"/>
        <v>-7011.299579461353</v>
      </c>
      <c r="R34" s="1090">
        <f>N34/I34%</f>
        <v>144.4977634579464</v>
      </c>
      <c r="S34" s="1100"/>
      <c r="U34" s="1058"/>
      <c r="V34" s="1057"/>
      <c r="W34" s="1057"/>
      <c r="X34" s="1058"/>
    </row>
    <row r="35" spans="1:24" s="1101" customFormat="1" ht="12.75" customHeight="1">
      <c r="A35" s="1123"/>
      <c r="B35" s="1124"/>
      <c r="C35" s="1125">
        <v>4500.99</v>
      </c>
      <c r="D35" s="1126"/>
      <c r="E35" s="1127" t="s">
        <v>400</v>
      </c>
      <c r="F35" s="1080">
        <f>'[2]Summary'!E35/15.6466</f>
        <v>754.1574527373359</v>
      </c>
      <c r="G35" s="1080">
        <f>'[2]Summary'!F35/15.6466</f>
        <v>721.2429537407488</v>
      </c>
      <c r="H35" s="1081">
        <f>'[2]Summary'!G35/15.6466</f>
        <v>1592.55045824652</v>
      </c>
      <c r="I35" s="1081">
        <f>'[2]Summary'!H35/15.6466</f>
        <v>1592.55045824652</v>
      </c>
      <c r="J35" s="1082">
        <f>'[2]Summary'!I35/15.6466</f>
        <v>1533.8795648894968</v>
      </c>
      <c r="K35" s="1083"/>
      <c r="L35" s="1084">
        <f>J35+K35</f>
        <v>1533.8795648894968</v>
      </c>
      <c r="M35" s="1129">
        <v>-93</v>
      </c>
      <c r="N35" s="1086">
        <f>L35+M35</f>
        <v>1440.8795648894968</v>
      </c>
      <c r="O35" s="1141"/>
      <c r="P35" s="1142"/>
      <c r="Q35" s="1089">
        <f t="shared" si="0"/>
        <v>838.3930055091841</v>
      </c>
      <c r="R35" s="1090">
        <f>N35/I35%</f>
        <v>90.47622682398266</v>
      </c>
      <c r="S35" s="1100"/>
      <c r="U35" s="1058"/>
      <c r="V35" s="1057"/>
      <c r="W35" s="1057"/>
      <c r="X35" s="1058"/>
    </row>
    <row r="36" spans="1:24" s="1101" customFormat="1" ht="12">
      <c r="A36" s="1123"/>
      <c r="B36" s="1124"/>
      <c r="C36" s="1125">
        <v>4500.99</v>
      </c>
      <c r="D36" s="1126"/>
      <c r="E36" s="1127" t="s">
        <v>401</v>
      </c>
      <c r="F36" s="1080">
        <f>'[2]Summary'!E36/15.6466</f>
        <v>607.1606611020925</v>
      </c>
      <c r="G36" s="1080">
        <f>'[2]Summary'!F36/15.6466</f>
        <v>1592.55045824652</v>
      </c>
      <c r="H36" s="1081">
        <f>'[2]Summary'!G36/15.6466</f>
        <v>721.2429537407488</v>
      </c>
      <c r="I36" s="1081">
        <f>'[2]Summary'!H36/15.6466</f>
        <v>721.2429537407488</v>
      </c>
      <c r="J36" s="1082">
        <f>'[2]Summary'!I36/15.6466</f>
        <v>734.9839581762172</v>
      </c>
      <c r="K36" s="1083"/>
      <c r="L36" s="1084">
        <f>J36+K36</f>
        <v>734.9839581762172</v>
      </c>
      <c r="M36" s="1129">
        <v>-15</v>
      </c>
      <c r="N36" s="1086">
        <f>L36+M36</f>
        <v>719.9839581762172</v>
      </c>
      <c r="O36" s="1141"/>
      <c r="P36" s="1142"/>
      <c r="Q36" s="1089">
        <f t="shared" si="0"/>
        <v>114.08229263865633</v>
      </c>
      <c r="R36" s="1090">
        <f>N36/I36%</f>
        <v>99.82544085068675</v>
      </c>
      <c r="S36" s="1100"/>
      <c r="U36" s="1058"/>
      <c r="V36" s="1057"/>
      <c r="W36" s="1057"/>
      <c r="X36" s="1058"/>
    </row>
    <row r="37" spans="1:24" s="1101" customFormat="1" ht="12" hidden="1">
      <c r="A37" s="1137" t="s">
        <v>402</v>
      </c>
      <c r="B37" s="1138"/>
      <c r="C37" s="1139"/>
      <c r="D37" s="1114"/>
      <c r="E37" s="1140" t="s">
        <v>403</v>
      </c>
      <c r="F37" s="1080">
        <f>'[2]Summary'!E37/15.6466</f>
        <v>0</v>
      </c>
      <c r="G37" s="1080">
        <f>'[2]Summary'!F37/15.6466</f>
        <v>22978.794115015404</v>
      </c>
      <c r="H37" s="1081">
        <f>'[2]Summary'!G37/15.6466</f>
        <v>0</v>
      </c>
      <c r="I37" s="1081">
        <f>'[2]Summary'!H37/15.6466</f>
        <v>0</v>
      </c>
      <c r="J37" s="1082">
        <f>'[2]Summary'!I37/15.6466</f>
        <v>0</v>
      </c>
      <c r="K37" s="1128"/>
      <c r="L37" s="1084">
        <f>J37+K37</f>
        <v>0</v>
      </c>
      <c r="M37" s="1129"/>
      <c r="N37" s="1086">
        <f>L37+M37</f>
        <v>0</v>
      </c>
      <c r="O37" s="1141"/>
      <c r="P37" s="1142"/>
      <c r="Q37" s="1089"/>
      <c r="R37" s="1090"/>
      <c r="S37" s="1100"/>
      <c r="U37" s="1058"/>
      <c r="V37" s="1057"/>
      <c r="W37" s="1057"/>
      <c r="X37" s="1058"/>
    </row>
    <row r="38" spans="1:24" s="1118" customFormat="1" ht="12">
      <c r="A38" s="1091" t="s">
        <v>404</v>
      </c>
      <c r="B38" s="1092"/>
      <c r="C38" s="1113">
        <v>6501</v>
      </c>
      <c r="D38" s="1114"/>
      <c r="E38" s="1120" t="s">
        <v>405</v>
      </c>
      <c r="F38" s="1080">
        <f>'[2]Summary'!E38/15.6466</f>
        <v>260029.07980008438</v>
      </c>
      <c r="G38" s="1080">
        <f>'[2]Summary'!F38/15.6466</f>
        <v>258190.78905321285</v>
      </c>
      <c r="H38" s="1081">
        <f>'[2]Summary'!G38/15.6466</f>
        <v>223849.14294479313</v>
      </c>
      <c r="I38" s="1081">
        <f>'[2]Summary'!H38/15.6466</f>
        <v>128991.47418608516</v>
      </c>
      <c r="J38" s="1082">
        <v>128992</v>
      </c>
      <c r="K38" s="1096">
        <f aca="true" t="shared" si="7" ref="K38:P38">SUM(K39:K43)</f>
        <v>17000</v>
      </c>
      <c r="L38" s="1143">
        <f t="shared" si="7"/>
        <v>145991.47418608516</v>
      </c>
      <c r="M38" s="1119">
        <f t="shared" si="7"/>
        <v>-73103</v>
      </c>
      <c r="N38" s="1116">
        <f t="shared" si="7"/>
        <v>72888.47418608516</v>
      </c>
      <c r="O38" s="1116">
        <f t="shared" si="7"/>
        <v>0</v>
      </c>
      <c r="P38" s="1116">
        <f t="shared" si="7"/>
        <v>47888.47418608516</v>
      </c>
      <c r="Q38" s="1089">
        <f t="shared" si="0"/>
        <v>-131037.60561399921</v>
      </c>
      <c r="R38" s="1090">
        <f>N38/I38%</f>
        <v>56.50642776664068</v>
      </c>
      <c r="S38" s="1117"/>
      <c r="U38" s="1058"/>
      <c r="V38" s="1057"/>
      <c r="W38" s="1057"/>
      <c r="X38" s="1058"/>
    </row>
    <row r="39" spans="1:24" s="1118" customFormat="1" ht="12" hidden="1">
      <c r="A39" s="1091"/>
      <c r="B39" s="1092"/>
      <c r="C39" s="1125"/>
      <c r="D39" s="1126"/>
      <c r="E39" s="1079" t="s">
        <v>406</v>
      </c>
      <c r="F39" s="1080">
        <f>'[2]Summary'!E39/15.6466</f>
        <v>0</v>
      </c>
      <c r="G39" s="1080">
        <f>'[2]Summary'!F39/15.6466</f>
        <v>0</v>
      </c>
      <c r="H39" s="1081">
        <f>'[2]Summary'!G39/15.6466</f>
        <v>0</v>
      </c>
      <c r="I39" s="1081">
        <f>'[2]Summary'!H39/15.6466</f>
        <v>0</v>
      </c>
      <c r="J39" s="1082">
        <f>'[2]Summary'!I39/15.6466</f>
        <v>0</v>
      </c>
      <c r="K39" s="1096"/>
      <c r="L39" s="1112"/>
      <c r="M39" s="1097"/>
      <c r="N39" s="1144"/>
      <c r="O39" s="1116"/>
      <c r="P39" s="1145"/>
      <c r="Q39" s="1089">
        <f t="shared" si="0"/>
        <v>0</v>
      </c>
      <c r="R39" s="1090" t="e">
        <f>N39/I39%</f>
        <v>#DIV/0!</v>
      </c>
      <c r="S39" s="1117"/>
      <c r="U39" s="1058"/>
      <c r="V39" s="1057"/>
      <c r="W39" s="1057"/>
      <c r="X39" s="1058"/>
    </row>
    <row r="40" spans="1:24" ht="12" hidden="1">
      <c r="A40" s="1146"/>
      <c r="B40" s="1147"/>
      <c r="C40" s="1125"/>
      <c r="D40" s="1148"/>
      <c r="E40" s="1079" t="s">
        <v>407</v>
      </c>
      <c r="F40" s="1080">
        <f>'[2]Summary'!E40/15.6466</f>
        <v>0</v>
      </c>
      <c r="G40" s="1080">
        <f>'[2]Summary'!F40/15.6466</f>
        <v>0</v>
      </c>
      <c r="H40" s="1081">
        <f>'[2]Summary'!G40/15.6466</f>
        <v>0</v>
      </c>
      <c r="I40" s="1081">
        <f>'[2]Summary'!H40/15.6466</f>
        <v>0</v>
      </c>
      <c r="J40" s="1082">
        <f>'[2]Summary'!I40/15.6466</f>
        <v>0</v>
      </c>
      <c r="K40" s="1083"/>
      <c r="L40" s="1084">
        <f>J40+K40</f>
        <v>0</v>
      </c>
      <c r="M40" s="1129"/>
      <c r="N40" s="1086">
        <f>L40+M40</f>
        <v>0</v>
      </c>
      <c r="O40" s="1087"/>
      <c r="P40" s="1149">
        <f aca="true" t="shared" si="8" ref="P40:P48">N40+O40</f>
        <v>0</v>
      </c>
      <c r="Q40" s="1089">
        <f t="shared" si="0"/>
        <v>0</v>
      </c>
      <c r="R40" s="1090" t="e">
        <f>N40/I40%</f>
        <v>#DIV/0!</v>
      </c>
      <c r="S40" s="1074"/>
      <c r="U40" s="1058"/>
      <c r="V40" s="1057"/>
      <c r="W40" s="1057"/>
      <c r="X40" s="1058"/>
    </row>
    <row r="41" spans="1:24" ht="12">
      <c r="A41" s="1146"/>
      <c r="B41" s="1147"/>
      <c r="C41" s="1125">
        <v>6501</v>
      </c>
      <c r="D41" s="1148"/>
      <c r="E41" s="1079" t="s">
        <v>408</v>
      </c>
      <c r="F41" s="1080">
        <f>'[2]Summary'!E41/15.6466</f>
        <v>237660.00281211254</v>
      </c>
      <c r="G41" s="1080">
        <f>'[2]Summary'!F41/15.6466</f>
        <v>234032.18590620326</v>
      </c>
      <c r="H41" s="1081">
        <f>'[2]Summary'!G41/15.6466</f>
        <v>198284.4835299682</v>
      </c>
      <c r="I41" s="1081">
        <f>'[2]Summary'!H41/15.6466</f>
        <v>105088.51763322383</v>
      </c>
      <c r="J41" s="1082">
        <f>'[2]Summary'!I41/15.6466</f>
        <v>105088.51763322383</v>
      </c>
      <c r="K41" s="1083"/>
      <c r="L41" s="1084">
        <f>J41+K41</f>
        <v>105088.51763322383</v>
      </c>
      <c r="M41" s="1129">
        <v>-63000</v>
      </c>
      <c r="N41" s="1086">
        <f>L41+M41</f>
        <v>42088.51763322383</v>
      </c>
      <c r="O41" s="1087"/>
      <c r="P41" s="1149">
        <f t="shared" si="8"/>
        <v>42088.51763322383</v>
      </c>
      <c r="Q41" s="1089">
        <f t="shared" si="0"/>
        <v>-132571.48517888872</v>
      </c>
      <c r="R41" s="1090">
        <f>N41/I41%</f>
        <v>40.05053889913992</v>
      </c>
      <c r="S41" s="1100"/>
      <c r="T41" s="1150"/>
      <c r="U41" s="1058"/>
      <c r="V41" s="1057"/>
      <c r="W41" s="1057"/>
      <c r="X41" s="1058"/>
    </row>
    <row r="42" spans="1:24" ht="12">
      <c r="A42" s="1146"/>
      <c r="B42" s="1147"/>
      <c r="C42" s="1125">
        <v>6501</v>
      </c>
      <c r="D42" s="1148"/>
      <c r="E42" s="1079" t="s">
        <v>409</v>
      </c>
      <c r="F42" s="1080"/>
      <c r="G42" s="1080"/>
      <c r="H42" s="1081"/>
      <c r="I42" s="1081"/>
      <c r="J42" s="1082"/>
      <c r="K42" s="1083">
        <v>17000</v>
      </c>
      <c r="L42" s="1084">
        <f>J42+K42</f>
        <v>17000</v>
      </c>
      <c r="M42" s="1129">
        <v>8000</v>
      </c>
      <c r="N42" s="1086">
        <f>L42+M42</f>
        <v>25000</v>
      </c>
      <c r="O42" s="1132"/>
      <c r="P42" s="1149"/>
      <c r="Q42" s="1089"/>
      <c r="R42" s="1090"/>
      <c r="S42" s="1100"/>
      <c r="T42" s="1150"/>
      <c r="U42" s="1058"/>
      <c r="V42" s="1057"/>
      <c r="W42" s="1057"/>
      <c r="X42" s="1058"/>
    </row>
    <row r="43" spans="1:24" ht="12">
      <c r="A43" s="1123"/>
      <c r="B43" s="1124"/>
      <c r="C43" s="1125">
        <v>6503</v>
      </c>
      <c r="D43" s="1148"/>
      <c r="E43" s="1079" t="s">
        <v>410</v>
      </c>
      <c r="F43" s="1080">
        <f>'[2]Summary'!E42/15.6466</f>
        <v>22369.07698797183</v>
      </c>
      <c r="G43" s="1080">
        <f>'[2]Summary'!F42/15.6466</f>
        <v>24158.603147009573</v>
      </c>
      <c r="H43" s="1081">
        <f>'[2]Summary'!G42/15.6466</f>
        <v>25564.659414824946</v>
      </c>
      <c r="I43" s="1081">
        <f>'[2]Summary'!H42/15.6466</f>
        <v>23902.956552861324</v>
      </c>
      <c r="J43" s="1082">
        <f>'[2]Summary'!I42/15.6466</f>
        <v>23902.956552861324</v>
      </c>
      <c r="K43" s="1128"/>
      <c r="L43" s="1084">
        <f>J43+K43</f>
        <v>23902.956552861324</v>
      </c>
      <c r="M43" s="1129">
        <v>-18103</v>
      </c>
      <c r="N43" s="1086">
        <f>L43+M43</f>
        <v>5799.956552861324</v>
      </c>
      <c r="O43" s="1151"/>
      <c r="P43" s="1149">
        <f t="shared" si="8"/>
        <v>5799.956552861324</v>
      </c>
      <c r="Q43" s="1089">
        <f t="shared" si="0"/>
        <v>1533.8795648894957</v>
      </c>
      <c r="R43" s="1090">
        <f aca="true" t="shared" si="9" ref="R43:R55">N43/I43%</f>
        <v>24.264598983957217</v>
      </c>
      <c r="S43" s="1100"/>
      <c r="U43" s="1058"/>
      <c r="V43" s="1057"/>
      <c r="W43" s="1057"/>
      <c r="X43" s="1058"/>
    </row>
    <row r="44" spans="1:24" ht="12" hidden="1">
      <c r="A44" s="1146"/>
      <c r="B44" s="1147"/>
      <c r="C44" s="1125"/>
      <c r="D44" s="1148"/>
      <c r="E44" s="1079" t="s">
        <v>411</v>
      </c>
      <c r="F44" s="1080">
        <f>'[2]Summary'!E43/15.6466</f>
        <v>0</v>
      </c>
      <c r="G44" s="1080">
        <f>'[2]Summary'!F43/15.6466</f>
        <v>0</v>
      </c>
      <c r="H44" s="1081">
        <f>'[2]Summary'!G43/15.6466</f>
        <v>0</v>
      </c>
      <c r="I44" s="1081">
        <f>'[2]Summary'!H43/15.6466</f>
        <v>0</v>
      </c>
      <c r="J44" s="1082">
        <f>'[2]Summary'!I43/15.6466</f>
        <v>0</v>
      </c>
      <c r="K44" s="1083"/>
      <c r="L44" s="1084"/>
      <c r="M44" s="1129"/>
      <c r="N44" s="1086"/>
      <c r="O44" s="1087"/>
      <c r="P44" s="1149">
        <f t="shared" si="8"/>
        <v>0</v>
      </c>
      <c r="Q44" s="1089">
        <f t="shared" si="0"/>
        <v>0</v>
      </c>
      <c r="R44" s="1090" t="e">
        <f t="shared" si="9"/>
        <v>#DIV/0!</v>
      </c>
      <c r="S44" s="1074"/>
      <c r="U44" s="1058"/>
      <c r="V44" s="1057"/>
      <c r="W44" s="1057"/>
      <c r="X44" s="1058"/>
    </row>
    <row r="45" spans="1:24" ht="12" hidden="1">
      <c r="A45" s="1146"/>
      <c r="B45" s="1147"/>
      <c r="C45" s="1125"/>
      <c r="D45" s="1148"/>
      <c r="E45" s="1079" t="s">
        <v>412</v>
      </c>
      <c r="F45" s="1080">
        <f>'[2]Summary'!E44/15.6466</f>
        <v>0</v>
      </c>
      <c r="G45" s="1080">
        <f>'[2]Summary'!F44/15.6466</f>
        <v>0</v>
      </c>
      <c r="H45" s="1081">
        <f>'[2]Summary'!G44/15.6466</f>
        <v>0</v>
      </c>
      <c r="I45" s="1081">
        <f>'[2]Summary'!H44/15.6466</f>
        <v>0</v>
      </c>
      <c r="J45" s="1082">
        <f>'[2]Summary'!I44/15.6466</f>
        <v>0</v>
      </c>
      <c r="K45" s="1083"/>
      <c r="L45" s="1084"/>
      <c r="M45" s="1129"/>
      <c r="N45" s="1086"/>
      <c r="O45" s="1087"/>
      <c r="P45" s="1149">
        <f t="shared" si="8"/>
        <v>0</v>
      </c>
      <c r="Q45" s="1089">
        <f t="shared" si="0"/>
        <v>0</v>
      </c>
      <c r="R45" s="1090" t="e">
        <f t="shared" si="9"/>
        <v>#DIV/0!</v>
      </c>
      <c r="S45" s="1074"/>
      <c r="U45" s="1058"/>
      <c r="V45" s="1057"/>
      <c r="W45" s="1057"/>
      <c r="X45" s="1058"/>
    </row>
    <row r="46" spans="1:24" ht="12" hidden="1">
      <c r="A46" s="1146"/>
      <c r="B46" s="1147"/>
      <c r="C46" s="1125"/>
      <c r="D46" s="1148"/>
      <c r="E46" s="1079" t="s">
        <v>413</v>
      </c>
      <c r="F46" s="1080">
        <f>'[2]Summary'!E45/15.6466</f>
        <v>0</v>
      </c>
      <c r="G46" s="1080">
        <f>'[2]Summary'!F45/15.6466</f>
        <v>0</v>
      </c>
      <c r="H46" s="1081">
        <f>'[2]Summary'!G45/15.6466</f>
        <v>0</v>
      </c>
      <c r="I46" s="1081">
        <f>'[2]Summary'!H45/15.6466</f>
        <v>0</v>
      </c>
      <c r="J46" s="1082">
        <f>'[2]Summary'!I45/15.6466</f>
        <v>0</v>
      </c>
      <c r="K46" s="1083"/>
      <c r="L46" s="1084"/>
      <c r="M46" s="1129"/>
      <c r="N46" s="1086"/>
      <c r="O46" s="1087"/>
      <c r="P46" s="1149">
        <f t="shared" si="8"/>
        <v>0</v>
      </c>
      <c r="Q46" s="1089">
        <f t="shared" si="0"/>
        <v>0</v>
      </c>
      <c r="R46" s="1090" t="e">
        <f t="shared" si="9"/>
        <v>#DIV/0!</v>
      </c>
      <c r="S46" s="1074"/>
      <c r="U46" s="1058"/>
      <c r="V46" s="1057"/>
      <c r="W46" s="1057"/>
      <c r="X46" s="1058"/>
    </row>
    <row r="47" spans="1:24" ht="12" hidden="1">
      <c r="A47" s="1146"/>
      <c r="B47" s="1147"/>
      <c r="C47" s="1125"/>
      <c r="D47" s="1148"/>
      <c r="E47" s="1079" t="s">
        <v>414</v>
      </c>
      <c r="F47" s="1080">
        <f>'[2]Summary'!E46/15.6466</f>
        <v>0</v>
      </c>
      <c r="G47" s="1080">
        <f>'[2]Summary'!F46/15.6466</f>
        <v>0</v>
      </c>
      <c r="H47" s="1081">
        <f>'[2]Summary'!G46/15.6466</f>
        <v>0</v>
      </c>
      <c r="I47" s="1081">
        <f>'[2]Summary'!H46/15.6466</f>
        <v>0</v>
      </c>
      <c r="J47" s="1082">
        <f>'[2]Summary'!I46/15.6466</f>
        <v>0</v>
      </c>
      <c r="K47" s="1083"/>
      <c r="L47" s="1084"/>
      <c r="M47" s="1129"/>
      <c r="N47" s="1086"/>
      <c r="O47" s="1087"/>
      <c r="P47" s="1149">
        <f t="shared" si="8"/>
        <v>0</v>
      </c>
      <c r="Q47" s="1089">
        <f t="shared" si="0"/>
        <v>0</v>
      </c>
      <c r="R47" s="1090" t="e">
        <f t="shared" si="9"/>
        <v>#DIV/0!</v>
      </c>
      <c r="S47" s="1074"/>
      <c r="U47" s="1058"/>
      <c r="V47" s="1057"/>
      <c r="W47" s="1057"/>
      <c r="X47" s="1058"/>
    </row>
    <row r="48" spans="1:24" ht="12" hidden="1">
      <c r="A48" s="1146"/>
      <c r="B48" s="1147"/>
      <c r="C48" s="1125"/>
      <c r="D48" s="1148"/>
      <c r="E48" s="1079" t="s">
        <v>413</v>
      </c>
      <c r="F48" s="1080">
        <f>'[2]Summary'!E47/15.6466</f>
        <v>0</v>
      </c>
      <c r="G48" s="1080">
        <f>'[2]Summary'!F47/15.6466</f>
        <v>0</v>
      </c>
      <c r="H48" s="1081">
        <f>'[2]Summary'!G47/15.6466</f>
        <v>0</v>
      </c>
      <c r="I48" s="1081">
        <f>'[2]Summary'!H47/15.6466</f>
        <v>0</v>
      </c>
      <c r="J48" s="1082">
        <f>'[2]Summary'!I47/15.6466</f>
        <v>0</v>
      </c>
      <c r="K48" s="1083"/>
      <c r="L48" s="1084"/>
      <c r="M48" s="1129"/>
      <c r="N48" s="1086"/>
      <c r="O48" s="1087"/>
      <c r="P48" s="1149">
        <f t="shared" si="8"/>
        <v>0</v>
      </c>
      <c r="Q48" s="1089">
        <f t="shared" si="0"/>
        <v>0</v>
      </c>
      <c r="R48" s="1090" t="e">
        <f t="shared" si="9"/>
        <v>#DIV/0!</v>
      </c>
      <c r="S48" s="1074"/>
      <c r="U48" s="1058"/>
      <c r="V48" s="1057"/>
      <c r="W48" s="1057"/>
      <c r="X48" s="1058"/>
    </row>
    <row r="49" spans="1:24" ht="12" hidden="1">
      <c r="A49" s="1146"/>
      <c r="B49" s="1147"/>
      <c r="C49" s="1125"/>
      <c r="D49" s="1148"/>
      <c r="E49" s="1079" t="s">
        <v>415</v>
      </c>
      <c r="F49" s="1080">
        <f>'[2]Summary'!E48/15.6466</f>
        <v>0</v>
      </c>
      <c r="G49" s="1080">
        <f>'[2]Summary'!F48/15.6466</f>
        <v>0</v>
      </c>
      <c r="H49" s="1081">
        <f>'[2]Summary'!G48/15.6466</f>
        <v>0</v>
      </c>
      <c r="I49" s="1081">
        <f>'[2]Summary'!H48/15.6466</f>
        <v>0</v>
      </c>
      <c r="J49" s="1082">
        <f>'[2]Summary'!I48/15.6466</f>
        <v>0</v>
      </c>
      <c r="K49" s="1083"/>
      <c r="L49" s="1084"/>
      <c r="M49" s="1129"/>
      <c r="N49" s="1086"/>
      <c r="O49" s="1087"/>
      <c r="P49" s="1088"/>
      <c r="Q49" s="1089">
        <f t="shared" si="0"/>
        <v>0</v>
      </c>
      <c r="R49" s="1090" t="e">
        <f t="shared" si="9"/>
        <v>#DIV/0!</v>
      </c>
      <c r="S49" s="1074"/>
      <c r="U49" s="1058"/>
      <c r="V49" s="1057"/>
      <c r="W49" s="1057"/>
      <c r="X49" s="1058"/>
    </row>
    <row r="50" spans="1:24" ht="12" hidden="1">
      <c r="A50" s="1146"/>
      <c r="B50" s="1147"/>
      <c r="C50" s="1125"/>
      <c r="D50" s="1126"/>
      <c r="E50" s="1140" t="s">
        <v>416</v>
      </c>
      <c r="F50" s="1080">
        <f>'[2]Summary'!E49/15.6466</f>
        <v>0</v>
      </c>
      <c r="G50" s="1080">
        <f>'[2]Summary'!F49/15.6466</f>
        <v>0</v>
      </c>
      <c r="H50" s="1081">
        <f>'[2]Summary'!G49/15.6466</f>
        <v>0</v>
      </c>
      <c r="I50" s="1081">
        <f>'[2]Summary'!H49/15.6466</f>
        <v>0</v>
      </c>
      <c r="J50" s="1082">
        <f>'[2]Summary'!I49/15.6466</f>
        <v>0</v>
      </c>
      <c r="K50" s="1083"/>
      <c r="L50" s="1084"/>
      <c r="M50" s="1129"/>
      <c r="N50" s="1086"/>
      <c r="O50" s="1087"/>
      <c r="P50" s="1088"/>
      <c r="Q50" s="1089">
        <f t="shared" si="0"/>
        <v>0</v>
      </c>
      <c r="R50" s="1090" t="e">
        <f t="shared" si="9"/>
        <v>#DIV/0!</v>
      </c>
      <c r="S50" s="1074"/>
      <c r="U50" s="1058"/>
      <c r="V50" s="1057"/>
      <c r="W50" s="1057"/>
      <c r="X50" s="1058"/>
    </row>
    <row r="51" spans="1:24" ht="12" hidden="1">
      <c r="A51" s="1146"/>
      <c r="B51" s="1147"/>
      <c r="C51" s="1125"/>
      <c r="D51" s="1126"/>
      <c r="E51" s="1140" t="s">
        <v>417</v>
      </c>
      <c r="F51" s="1080">
        <f>'[2]Summary'!E50/15.6466</f>
        <v>0</v>
      </c>
      <c r="G51" s="1080">
        <f>'[2]Summary'!F50/15.6466</f>
        <v>0</v>
      </c>
      <c r="H51" s="1081">
        <f>'[2]Summary'!G50/15.6466</f>
        <v>0</v>
      </c>
      <c r="I51" s="1081">
        <f>'[2]Summary'!H50/15.6466</f>
        <v>0</v>
      </c>
      <c r="J51" s="1082">
        <f>'[2]Summary'!I50/15.6466</f>
        <v>0</v>
      </c>
      <c r="K51" s="1083"/>
      <c r="L51" s="1084"/>
      <c r="M51" s="1129"/>
      <c r="N51" s="1086"/>
      <c r="O51" s="1087"/>
      <c r="P51" s="1088"/>
      <c r="Q51" s="1089">
        <f t="shared" si="0"/>
        <v>0</v>
      </c>
      <c r="R51" s="1090" t="e">
        <f t="shared" si="9"/>
        <v>#DIV/0!</v>
      </c>
      <c r="S51" s="1074"/>
      <c r="U51" s="1058"/>
      <c r="V51" s="1057"/>
      <c r="W51" s="1057"/>
      <c r="X51" s="1058"/>
    </row>
    <row r="52" spans="1:24" ht="12" hidden="1">
      <c r="A52" s="1146" t="s">
        <v>418</v>
      </c>
      <c r="B52" s="1147"/>
      <c r="C52" s="1104"/>
      <c r="D52" s="1126"/>
      <c r="E52" s="1152" t="s">
        <v>419</v>
      </c>
      <c r="F52" s="1080">
        <f>'[2]Summary'!E51/15.6466</f>
        <v>0</v>
      </c>
      <c r="G52" s="1080">
        <f>'[2]Summary'!F51/15.6466</f>
        <v>0</v>
      </c>
      <c r="H52" s="1081">
        <f>'[2]Summary'!G51/15.6466</f>
        <v>0</v>
      </c>
      <c r="I52" s="1081">
        <f>'[2]Summary'!H51/15.6466</f>
        <v>0</v>
      </c>
      <c r="J52" s="1082">
        <f>'[2]Summary'!I51/15.6466</f>
        <v>0</v>
      </c>
      <c r="K52" s="1083">
        <f aca="true" t="shared" si="10" ref="K52:P52">K54</f>
        <v>0</v>
      </c>
      <c r="L52" s="1107">
        <f t="shared" si="10"/>
        <v>0</v>
      </c>
      <c r="M52" s="1108">
        <f t="shared" si="10"/>
        <v>0</v>
      </c>
      <c r="N52" s="1153">
        <f t="shared" si="10"/>
        <v>0</v>
      </c>
      <c r="O52" s="1109">
        <f t="shared" si="10"/>
        <v>0</v>
      </c>
      <c r="P52" s="1110">
        <f t="shared" si="10"/>
        <v>13077.729346950775</v>
      </c>
      <c r="Q52" s="1089">
        <f t="shared" si="0"/>
        <v>0</v>
      </c>
      <c r="R52" s="1090" t="e">
        <f t="shared" si="9"/>
        <v>#DIV/0!</v>
      </c>
      <c r="S52" s="1074"/>
      <c r="U52" s="1058"/>
      <c r="V52" s="1057"/>
      <c r="W52" s="1057"/>
      <c r="X52" s="1058"/>
    </row>
    <row r="53" spans="1:24" ht="12.75" customHeight="1" hidden="1" thickBot="1">
      <c r="A53" s="1146"/>
      <c r="B53" s="1147"/>
      <c r="C53" s="1125"/>
      <c r="D53" s="1126"/>
      <c r="E53" s="1079" t="s">
        <v>370</v>
      </c>
      <c r="F53" s="1080">
        <f>'[2]Summary'!E52/15.6466</f>
        <v>0</v>
      </c>
      <c r="G53" s="1080">
        <f>'[2]Summary'!F52/15.6466</f>
        <v>0</v>
      </c>
      <c r="H53" s="1081">
        <f>'[2]Summary'!G52/15.6466</f>
        <v>0</v>
      </c>
      <c r="I53" s="1081">
        <f>'[2]Summary'!H52/15.6466</f>
        <v>0</v>
      </c>
      <c r="J53" s="1082">
        <f>'[2]Summary'!I52/15.6466</f>
        <v>0</v>
      </c>
      <c r="K53" s="1083"/>
      <c r="L53" s="1084"/>
      <c r="M53" s="1129"/>
      <c r="N53" s="1086"/>
      <c r="O53" s="1087"/>
      <c r="P53" s="1088"/>
      <c r="Q53" s="1089">
        <f t="shared" si="0"/>
        <v>0</v>
      </c>
      <c r="R53" s="1090" t="e">
        <f t="shared" si="9"/>
        <v>#DIV/0!</v>
      </c>
      <c r="S53" s="1074"/>
      <c r="U53" s="1058"/>
      <c r="V53" s="1057"/>
      <c r="W53" s="1057"/>
      <c r="X53" s="1058"/>
    </row>
    <row r="54" spans="1:24" ht="14.25" customHeight="1" hidden="1" thickBot="1">
      <c r="A54" s="1102" t="s">
        <v>420</v>
      </c>
      <c r="B54" s="1103"/>
      <c r="C54" s="1125"/>
      <c r="D54" s="1105"/>
      <c r="E54" s="1127" t="s">
        <v>421</v>
      </c>
      <c r="F54" s="1080">
        <f>'[2]Summary'!E53/15.6466</f>
        <v>0</v>
      </c>
      <c r="G54" s="1080">
        <f>'[2]Summary'!F53/15.6466</f>
        <v>0</v>
      </c>
      <c r="H54" s="1081">
        <f>'[2]Summary'!G53/15.6466</f>
        <v>0</v>
      </c>
      <c r="I54" s="1081">
        <f>'[2]Summary'!H53/15.6466</f>
        <v>0</v>
      </c>
      <c r="J54" s="1082">
        <f>'[2]Summary'!I53/15.6466</f>
        <v>0</v>
      </c>
      <c r="K54" s="1128"/>
      <c r="L54" s="1084"/>
      <c r="M54" s="1129"/>
      <c r="N54" s="1086"/>
      <c r="O54" s="1151">
        <f>'[4]turvateenistus'!T228</f>
        <v>0</v>
      </c>
      <c r="P54" s="1132">
        <f>'[4]turvateenistus'!U228</f>
        <v>13077.729346950775</v>
      </c>
      <c r="Q54" s="1089">
        <f t="shared" si="0"/>
        <v>0</v>
      </c>
      <c r="R54" s="1090" t="e">
        <f t="shared" si="9"/>
        <v>#DIV/0!</v>
      </c>
      <c r="S54" s="1074"/>
      <c r="U54" s="1058"/>
      <c r="V54" s="1057"/>
      <c r="W54" s="1057"/>
      <c r="X54" s="1058"/>
    </row>
    <row r="55" spans="1:24" s="1101" customFormat="1" ht="11.25">
      <c r="A55" s="1146" t="s">
        <v>422</v>
      </c>
      <c r="B55" s="1147"/>
      <c r="C55" s="1093"/>
      <c r="D55" s="1136"/>
      <c r="E55" s="1152" t="s">
        <v>423</v>
      </c>
      <c r="F55" s="1080">
        <f>'[2]Summary'!E54/15.6466</f>
        <v>22688.63523065714</v>
      </c>
      <c r="G55" s="1080">
        <f>'[2]Summary'!F54/15.6466</f>
        <v>36682.729794332314</v>
      </c>
      <c r="H55" s="1081">
        <f>'[2]Summary'!G54/15.6466</f>
        <v>13077.729346950775</v>
      </c>
      <c r="I55" s="1081">
        <f>'[2]Summary'!H54/15.6466</f>
        <v>16145.48847672977</v>
      </c>
      <c r="J55" s="1154">
        <f>J57+J64+J62</f>
        <v>16146.488476729768</v>
      </c>
      <c r="K55" s="1155">
        <f>K57+K64+K62</f>
        <v>0</v>
      </c>
      <c r="L55" s="1107">
        <f>L57+L64+L62</f>
        <v>16146.488476729768</v>
      </c>
      <c r="M55" s="1156">
        <f>M57+M63+M62</f>
        <v>600</v>
      </c>
      <c r="N55" s="1156">
        <f>N57+N63+N62</f>
        <v>16746.48847672977</v>
      </c>
      <c r="O55" s="1108">
        <f>O59+O60</f>
        <v>0</v>
      </c>
      <c r="P55" s="1157">
        <f>P59+P60</f>
        <v>0</v>
      </c>
      <c r="Q55" s="1089">
        <f t="shared" si="0"/>
        <v>-6543.146753927369</v>
      </c>
      <c r="R55" s="1090">
        <f t="shared" si="9"/>
        <v>103.72240208691247</v>
      </c>
      <c r="S55" s="1100"/>
      <c r="U55" s="1058"/>
      <c r="V55" s="1057"/>
      <c r="W55" s="1057"/>
      <c r="X55" s="1058"/>
    </row>
    <row r="56" spans="1:24" s="1101" customFormat="1" ht="12">
      <c r="A56" s="1146"/>
      <c r="B56" s="1147"/>
      <c r="C56" s="1093"/>
      <c r="D56" s="1136"/>
      <c r="E56" s="1079" t="s">
        <v>370</v>
      </c>
      <c r="F56" s="1080">
        <f>'[2]Summary'!E55/15.6466</f>
        <v>0</v>
      </c>
      <c r="G56" s="1080">
        <f>'[2]Summary'!F55/15.6466</f>
        <v>0</v>
      </c>
      <c r="H56" s="1081">
        <f>'[2]Summary'!G55/15.6466</f>
        <v>0</v>
      </c>
      <c r="I56" s="1081">
        <f>'[2]Summary'!H55/15.6466</f>
        <v>0</v>
      </c>
      <c r="J56" s="1082">
        <f>'[2]Summary'!I55/15.6466</f>
        <v>0</v>
      </c>
      <c r="K56" s="1083"/>
      <c r="L56" s="1107"/>
      <c r="M56" s="1108"/>
      <c r="N56" s="1156"/>
      <c r="O56" s="1158"/>
      <c r="P56" s="1159"/>
      <c r="Q56" s="1089"/>
      <c r="R56" s="1090"/>
      <c r="S56" s="1100"/>
      <c r="U56" s="1058"/>
      <c r="V56" s="1057"/>
      <c r="W56" s="1057"/>
      <c r="X56" s="1058"/>
    </row>
    <row r="57" spans="1:24" s="1101" customFormat="1" ht="12" hidden="1">
      <c r="A57" s="1091" t="s">
        <v>424</v>
      </c>
      <c r="B57" s="1092"/>
      <c r="C57" s="1113"/>
      <c r="D57" s="1114"/>
      <c r="E57" s="1095" t="s">
        <v>425</v>
      </c>
      <c r="F57" s="1080">
        <f>'[2]Summary'!E56/15.6466</f>
        <v>958.6747280559355</v>
      </c>
      <c r="G57" s="1080">
        <f>'[2]Summary'!F56/15.6466</f>
        <v>0</v>
      </c>
      <c r="H57" s="1081">
        <f>'[2]Summary'!G56/15.6466</f>
        <v>0</v>
      </c>
      <c r="I57" s="1081">
        <f>'[2]Summary'!H56/15.6466</f>
        <v>0</v>
      </c>
      <c r="J57" s="1082">
        <f>'[2]Summary'!I56/15.6466</f>
        <v>0</v>
      </c>
      <c r="K57" s="1096">
        <f>K59+K60</f>
        <v>0</v>
      </c>
      <c r="L57" s="1112">
        <f>L59+L60</f>
        <v>0</v>
      </c>
      <c r="M57" s="1097">
        <f>M59+M60</f>
        <v>0</v>
      </c>
      <c r="N57" s="1144">
        <f>N59+N60</f>
        <v>0</v>
      </c>
      <c r="O57" s="1157"/>
      <c r="P57" s="1160"/>
      <c r="Q57" s="1089">
        <f t="shared" si="0"/>
        <v>-958.6747280559355</v>
      </c>
      <c r="R57" s="1090" t="e">
        <f>N57/I57%</f>
        <v>#DIV/0!</v>
      </c>
      <c r="S57" s="1100"/>
      <c r="U57" s="1058"/>
      <c r="V57" s="1057"/>
      <c r="W57" s="1057"/>
      <c r="X57" s="1058"/>
    </row>
    <row r="58" spans="1:24" s="1101" customFormat="1" ht="12" hidden="1">
      <c r="A58" s="1091"/>
      <c r="B58" s="1092"/>
      <c r="C58" s="1113"/>
      <c r="D58" s="1114"/>
      <c r="E58" s="1079" t="s">
        <v>370</v>
      </c>
      <c r="F58" s="1080">
        <f>'[2]Summary'!E57/15.6466</f>
        <v>0</v>
      </c>
      <c r="G58" s="1080">
        <f>'[2]Summary'!F57/15.6466</f>
        <v>0</v>
      </c>
      <c r="H58" s="1081">
        <f>'[2]Summary'!G57/15.6466</f>
        <v>0</v>
      </c>
      <c r="I58" s="1081">
        <f>'[2]Summary'!H57/15.6466</f>
        <v>0</v>
      </c>
      <c r="J58" s="1082">
        <f>'[2]Summary'!I57/15.6466</f>
        <v>0</v>
      </c>
      <c r="K58" s="1083"/>
      <c r="L58" s="1107"/>
      <c r="M58" s="1108"/>
      <c r="N58" s="1156"/>
      <c r="O58" s="1157"/>
      <c r="P58" s="1160"/>
      <c r="Q58" s="1089"/>
      <c r="R58" s="1090"/>
      <c r="S58" s="1100"/>
      <c r="U58" s="1058"/>
      <c r="V58" s="1057"/>
      <c r="W58" s="1057"/>
      <c r="X58" s="1058"/>
    </row>
    <row r="59" spans="1:24" ht="12" hidden="1">
      <c r="A59" s="1123" t="s">
        <v>426</v>
      </c>
      <c r="B59" s="1124"/>
      <c r="C59" s="1125"/>
      <c r="D59" s="1126"/>
      <c r="E59" s="1127" t="s">
        <v>427</v>
      </c>
      <c r="F59" s="1080">
        <f>'[2]Summary'!E58/15.6466</f>
        <v>958.6747280559355</v>
      </c>
      <c r="G59" s="1080">
        <f>'[2]Summary'!F58/15.6466</f>
        <v>0</v>
      </c>
      <c r="H59" s="1081">
        <f>'[2]Summary'!G58/15.6466</f>
        <v>0</v>
      </c>
      <c r="I59" s="1081">
        <f>'[2]Summary'!H58/15.6466</f>
        <v>0</v>
      </c>
      <c r="J59" s="1082">
        <f>'[2]Summary'!I58/15.6466</f>
        <v>0</v>
      </c>
      <c r="K59" s="1128">
        <f>'[4]politsei'!K228</f>
        <v>0</v>
      </c>
      <c r="L59" s="1084">
        <f>'[4]politsei'!L228</f>
        <v>0</v>
      </c>
      <c r="M59" s="1129">
        <f>'[4]politsei'!O228</f>
        <v>0</v>
      </c>
      <c r="N59" s="1086">
        <f>'[4]politsei'!P228</f>
        <v>0</v>
      </c>
      <c r="O59" s="1151">
        <f>'[4]politsei'!S228</f>
        <v>0</v>
      </c>
      <c r="P59" s="1132">
        <f>'[4]politsei'!T228</f>
        <v>0</v>
      </c>
      <c r="Q59" s="1089">
        <f t="shared" si="0"/>
        <v>-958.6747280559355</v>
      </c>
      <c r="R59" s="1090" t="e">
        <f>N59/I59%</f>
        <v>#DIV/0!</v>
      </c>
      <c r="S59" s="1074"/>
      <c r="U59" s="1058"/>
      <c r="V59" s="1057"/>
      <c r="W59" s="1057"/>
      <c r="X59" s="1058"/>
    </row>
    <row r="60" spans="1:24" ht="12" hidden="1">
      <c r="A60" s="1123" t="s">
        <v>428</v>
      </c>
      <c r="B60" s="1124"/>
      <c r="C60" s="1125">
        <v>5540</v>
      </c>
      <c r="D60" s="1126"/>
      <c r="E60" s="1079" t="s">
        <v>429</v>
      </c>
      <c r="F60" s="1080">
        <f>'[2]Summary'!E59/15.6466</f>
        <v>0</v>
      </c>
      <c r="G60" s="1080">
        <f>'[2]Summary'!F59/15.6466</f>
        <v>0</v>
      </c>
      <c r="H60" s="1081">
        <f>'[2]Summary'!G59/15.6466</f>
        <v>0</v>
      </c>
      <c r="I60" s="1081">
        <f>'[2]Summary'!H59/15.6466</f>
        <v>0</v>
      </c>
      <c r="J60" s="1082">
        <f>'[2]Summary'!I59/15.6466</f>
        <v>0</v>
      </c>
      <c r="K60" s="1128"/>
      <c r="L60" s="1084">
        <f>J60+K60</f>
        <v>0</v>
      </c>
      <c r="M60" s="1129"/>
      <c r="N60" s="1086">
        <f>L60+M60</f>
        <v>0</v>
      </c>
      <c r="O60" s="1087"/>
      <c r="P60" s="1130">
        <f>N60+O60</f>
        <v>0</v>
      </c>
      <c r="Q60" s="1089">
        <f t="shared" si="0"/>
        <v>0</v>
      </c>
      <c r="R60" s="1090"/>
      <c r="S60" s="1074"/>
      <c r="U60" s="1058"/>
      <c r="V60" s="1057"/>
      <c r="W60" s="1057"/>
      <c r="X60" s="1058"/>
    </row>
    <row r="61" spans="1:24" ht="12" hidden="1">
      <c r="A61" s="1123"/>
      <c r="B61" s="1124"/>
      <c r="C61" s="1125"/>
      <c r="D61" s="1126"/>
      <c r="E61" s="1079" t="s">
        <v>430</v>
      </c>
      <c r="F61" s="1080">
        <f>'[2]Summary'!E60/15.6466</f>
        <v>0</v>
      </c>
      <c r="G61" s="1080">
        <f>'[2]Summary'!F60/15.6466</f>
        <v>0</v>
      </c>
      <c r="H61" s="1081">
        <f>'[2]Summary'!G60/15.6466</f>
        <v>0</v>
      </c>
      <c r="I61" s="1081">
        <f>'[2]Summary'!H60/15.6466</f>
        <v>0</v>
      </c>
      <c r="J61" s="1082">
        <f>'[2]Summary'!I60/15.6466</f>
        <v>0</v>
      </c>
      <c r="K61" s="1083"/>
      <c r="L61" s="1084">
        <f>J61+K61</f>
        <v>0</v>
      </c>
      <c r="M61" s="1108"/>
      <c r="N61" s="1086"/>
      <c r="O61" s="1087"/>
      <c r="P61" s="1161"/>
      <c r="Q61" s="1089"/>
      <c r="R61" s="1090"/>
      <c r="S61" s="1074"/>
      <c r="U61" s="1058"/>
      <c r="V61" s="1057"/>
      <c r="W61" s="1057"/>
      <c r="X61" s="1058"/>
    </row>
    <row r="62" spans="1:24" s="1118" customFormat="1" ht="12">
      <c r="A62" s="1091" t="s">
        <v>431</v>
      </c>
      <c r="B62" s="1092"/>
      <c r="C62" s="1113"/>
      <c r="D62" s="1114"/>
      <c r="E62" s="1120" t="s">
        <v>432</v>
      </c>
      <c r="F62" s="1080">
        <f>'[2]Summary'!E61/15.6466</f>
        <v>0</v>
      </c>
      <c r="G62" s="1080">
        <f>'[2]Summary'!F61/15.6466</f>
        <v>3067.7591297789936</v>
      </c>
      <c r="H62" s="1081">
        <f>'[2]Summary'!G61/15.6466</f>
        <v>0</v>
      </c>
      <c r="I62" s="1081">
        <f>'[2]Summary'!H61/15.6466</f>
        <v>3067.7591297789936</v>
      </c>
      <c r="J62" s="1082">
        <f>'[2]Summary'!I61/15.6466+1</f>
        <v>3068.7591297789936</v>
      </c>
      <c r="K62" s="1162"/>
      <c r="L62" s="1084">
        <f>J62+K62</f>
        <v>3068.7591297789936</v>
      </c>
      <c r="M62" s="1163">
        <v>0</v>
      </c>
      <c r="N62" s="1164">
        <f>L62+M62</f>
        <v>3068.7591297789936</v>
      </c>
      <c r="O62" s="1165"/>
      <c r="P62" s="1166"/>
      <c r="Q62" s="1089">
        <f t="shared" si="0"/>
        <v>3067.7591297789936</v>
      </c>
      <c r="R62" s="1090"/>
      <c r="S62" s="1167"/>
      <c r="U62" s="1058"/>
      <c r="V62" s="1057"/>
      <c r="W62" s="1057"/>
      <c r="X62" s="1058"/>
    </row>
    <row r="63" spans="1:24" s="1118" customFormat="1" ht="12">
      <c r="A63" s="1168" t="s">
        <v>433</v>
      </c>
      <c r="B63" s="1169"/>
      <c r="C63" s="1170"/>
      <c r="D63" s="1171"/>
      <c r="E63" s="1172" t="s">
        <v>333</v>
      </c>
      <c r="F63" s="1080">
        <f>'[2]Summary'!E62/15.6466</f>
        <v>0</v>
      </c>
      <c r="G63" s="1080">
        <f>'[2]Summary'!F62/15.6466</f>
        <v>33614.97066455332</v>
      </c>
      <c r="H63" s="1081">
        <f>'[2]Summary'!G62/15.6466</f>
        <v>0</v>
      </c>
      <c r="I63" s="1081">
        <f>'[2]Summary'!H62/15.6466</f>
        <v>0</v>
      </c>
      <c r="J63" s="1082">
        <f>'[2]Summary'!I62/15.6466</f>
        <v>0</v>
      </c>
      <c r="K63" s="1162"/>
      <c r="L63" s="1173"/>
      <c r="M63" s="1163">
        <f>SUM(M64:M65)</f>
        <v>600</v>
      </c>
      <c r="N63" s="1174">
        <f>SUM(N64:N65)</f>
        <v>13677.729346950775</v>
      </c>
      <c r="O63" s="1165"/>
      <c r="P63" s="1166"/>
      <c r="Q63" s="1089">
        <f t="shared" si="0"/>
        <v>0</v>
      </c>
      <c r="R63" s="1090"/>
      <c r="S63" s="1117"/>
      <c r="U63" s="1058"/>
      <c r="V63" s="1057"/>
      <c r="W63" s="1057"/>
      <c r="X63" s="1058"/>
    </row>
    <row r="64" spans="1:24" s="1118" customFormat="1" ht="12">
      <c r="A64" s="1175" t="s">
        <v>433</v>
      </c>
      <c r="B64" s="1169"/>
      <c r="C64" s="1176">
        <v>4528</v>
      </c>
      <c r="D64" s="1171"/>
      <c r="E64" s="1172" t="s">
        <v>434</v>
      </c>
      <c r="F64" s="1080">
        <f>'[2]Summary'!E63/15.6466</f>
        <v>21729.960502601203</v>
      </c>
      <c r="G64" s="1080">
        <f>'[2]Summary'!F63/15.6466</f>
        <v>26685.222348625262</v>
      </c>
      <c r="H64" s="1081">
        <f>'[2]Summary'!G63/15.6466</f>
        <v>13077.729346950775</v>
      </c>
      <c r="I64" s="1081">
        <f>'[2]Summary'!H63/15.6466</f>
        <v>13077.729346950775</v>
      </c>
      <c r="J64" s="1082">
        <f>'[2]Summary'!I63/15.6466</f>
        <v>13077.729346950775</v>
      </c>
      <c r="K64" s="1096">
        <f>'[4]turvateenistus'!L228</f>
        <v>0</v>
      </c>
      <c r="L64" s="1112">
        <f>'[4]turvateenistus'!M228</f>
        <v>13077.729346950775</v>
      </c>
      <c r="M64" s="1163">
        <v>600</v>
      </c>
      <c r="N64" s="1164">
        <f>L64+M64</f>
        <v>13677.729346950775</v>
      </c>
      <c r="O64" s="1165"/>
      <c r="P64" s="1166"/>
      <c r="Q64" s="1089">
        <f t="shared" si="0"/>
        <v>-8652.231155650428</v>
      </c>
      <c r="R64" s="1090">
        <f>N64/I64%</f>
        <v>104.58795241958342</v>
      </c>
      <c r="S64" s="1117"/>
      <c r="U64" s="1058"/>
      <c r="V64" s="1057"/>
      <c r="W64" s="1057"/>
      <c r="X64" s="1058"/>
    </row>
    <row r="65" spans="1:24" s="1118" customFormat="1" ht="12">
      <c r="A65" s="1175" t="s">
        <v>433</v>
      </c>
      <c r="B65" s="1169"/>
      <c r="C65" s="1176">
        <v>1554</v>
      </c>
      <c r="D65" s="1171"/>
      <c r="E65" s="1172" t="s">
        <v>435</v>
      </c>
      <c r="F65" s="1080">
        <f>'[2]Summary'!E64/15.6466</f>
        <v>0</v>
      </c>
      <c r="G65" s="1080">
        <f>'[2]Summary'!F64/15.6466</f>
        <v>4631.485434535299</v>
      </c>
      <c r="H65" s="1081">
        <f>'[2]Summary'!G64/15.6466</f>
        <v>0</v>
      </c>
      <c r="I65" s="1081">
        <f>'[2]Summary'!H64/15.6466</f>
        <v>0</v>
      </c>
      <c r="J65" s="1082">
        <f>'[2]Summary'!I64/15.6466</f>
        <v>0</v>
      </c>
      <c r="K65" s="1162"/>
      <c r="L65" s="1173"/>
      <c r="M65" s="1163">
        <f>'[4]turvateenistus'!P221</f>
        <v>0</v>
      </c>
      <c r="N65" s="1164">
        <f>L65+M65</f>
        <v>0</v>
      </c>
      <c r="O65" s="1165"/>
      <c r="P65" s="1166"/>
      <c r="Q65" s="1089">
        <f t="shared" si="0"/>
        <v>0</v>
      </c>
      <c r="R65" s="1090"/>
      <c r="S65" s="1117"/>
      <c r="U65" s="1058"/>
      <c r="V65" s="1057"/>
      <c r="W65" s="1057"/>
      <c r="X65" s="1058"/>
    </row>
    <row r="66" spans="1:24" s="1101" customFormat="1" ht="12.75" thickBot="1">
      <c r="A66" s="1177"/>
      <c r="B66" s="1178"/>
      <c r="C66" s="1179"/>
      <c r="D66" s="1180"/>
      <c r="E66" s="1172" t="s">
        <v>436</v>
      </c>
      <c r="F66" s="1181">
        <f>'[2]Summary'!E65/15.6466</f>
        <v>2243039.4368105535</v>
      </c>
      <c r="G66" s="1181">
        <f>'[2]Summary'!F65/15.6466</f>
        <v>2737770.7616990274</v>
      </c>
      <c r="H66" s="1182">
        <f>'[2]Summary'!G65/15.6466</f>
        <v>2143886.624570194</v>
      </c>
      <c r="I66" s="1182">
        <f>'[2]Summary'!H65/15.6466</f>
        <v>2406987.707425256</v>
      </c>
      <c r="J66" s="1183">
        <f>'[2]Summary'!I65/15.6466-34071</f>
        <v>2203208.196758401</v>
      </c>
      <c r="K66" s="1184">
        <f>K67+K96+K106+K114</f>
        <v>160866.018</v>
      </c>
      <c r="L66" s="1084">
        <f>J66+K66</f>
        <v>2364074.2147584013</v>
      </c>
      <c r="M66" s="1185">
        <f>M67+M96+M106+M114</f>
        <v>1602790.8</v>
      </c>
      <c r="N66" s="1084">
        <f>L66+M66</f>
        <v>3966865.0147584016</v>
      </c>
      <c r="O66" s="1186">
        <f>O67+O96+O106+O114</f>
        <v>0</v>
      </c>
      <c r="P66" s="1185">
        <f>P67+P96+P106+P114</f>
        <v>1831697.252794345</v>
      </c>
      <c r="Q66" s="1187">
        <f t="shared" si="0"/>
        <v>163948.27061470225</v>
      </c>
      <c r="R66" s="1188">
        <f aca="true" t="shared" si="11" ref="R66:R71">N66/I66%</f>
        <v>164.80620164868807</v>
      </c>
      <c r="S66" s="1100"/>
      <c r="U66" s="1058"/>
      <c r="V66" s="1057"/>
      <c r="W66" s="1057"/>
      <c r="X66" s="1058"/>
    </row>
    <row r="67" spans="1:24" s="1200" customFormat="1" ht="12" thickBot="1">
      <c r="A67" s="1034" t="s">
        <v>437</v>
      </c>
      <c r="B67" s="1189"/>
      <c r="C67" s="1190"/>
      <c r="D67" s="1191"/>
      <c r="E67" s="1192" t="s">
        <v>438</v>
      </c>
      <c r="F67" s="1047">
        <f>'[2]Summary'!E66/15.6466</f>
        <v>1058061.7900374522</v>
      </c>
      <c r="G67" s="1047">
        <f>'[2]Summary'!F66/15.6466</f>
        <v>1491492.9121981773</v>
      </c>
      <c r="H67" s="1048">
        <f>'[2]Summary'!G66/15.6466</f>
        <v>1245845.1625273223</v>
      </c>
      <c r="I67" s="1048">
        <f>'[2]Summary'!H66/15.6466</f>
        <v>1524643.0667365436</v>
      </c>
      <c r="J67" s="1049">
        <f aca="true" t="shared" si="12" ref="J67:P67">J69+J72+J77+J81+J87+J91</f>
        <v>1376550.501706441</v>
      </c>
      <c r="K67" s="1193">
        <f t="shared" si="12"/>
        <v>160866.018</v>
      </c>
      <c r="L67" s="1051">
        <f t="shared" si="12"/>
        <v>1537416.5197064409</v>
      </c>
      <c r="M67" s="1194">
        <f t="shared" si="12"/>
        <v>153030.8</v>
      </c>
      <c r="N67" s="1195">
        <f t="shared" si="12"/>
        <v>1690447.319706441</v>
      </c>
      <c r="O67" s="1196">
        <f t="shared" si="12"/>
        <v>0</v>
      </c>
      <c r="P67" s="1197">
        <f t="shared" si="12"/>
        <v>1038898.26423453</v>
      </c>
      <c r="Q67" s="1198">
        <f t="shared" si="0"/>
        <v>466581.2766990913</v>
      </c>
      <c r="R67" s="1199">
        <f t="shared" si="11"/>
        <v>110.8749553641297</v>
      </c>
      <c r="U67" s="1058"/>
      <c r="V67" s="1057"/>
      <c r="W67" s="1057"/>
      <c r="X67" s="1058"/>
    </row>
    <row r="68" spans="1:24" s="1101" customFormat="1" ht="12" hidden="1">
      <c r="A68" s="1059"/>
      <c r="B68" s="1060"/>
      <c r="C68" s="1201"/>
      <c r="D68" s="1202"/>
      <c r="E68" s="1063" t="s">
        <v>438</v>
      </c>
      <c r="F68" s="1064">
        <f>'[2]Summary'!E67/15.6466</f>
        <v>0</v>
      </c>
      <c r="G68" s="1064">
        <f>'[2]Summary'!F67/15.6466</f>
        <v>0</v>
      </c>
      <c r="H68" s="1065">
        <f>'[2]Summary'!G67/15.6466</f>
        <v>0</v>
      </c>
      <c r="I68" s="1065">
        <f>'[2]Summary'!H67/15.6466</f>
        <v>0</v>
      </c>
      <c r="J68" s="1203">
        <f>'[2]Summary'!I67/15.6466</f>
        <v>0</v>
      </c>
      <c r="K68" s="1067"/>
      <c r="L68" s="1204"/>
      <c r="M68" s="1205"/>
      <c r="N68" s="1206"/>
      <c r="O68" s="1207"/>
      <c r="P68" s="1208"/>
      <c r="Q68" s="1072">
        <f t="shared" si="0"/>
        <v>0</v>
      </c>
      <c r="R68" s="1073" t="e">
        <f t="shared" si="11"/>
        <v>#DIV/0!</v>
      </c>
      <c r="S68" s="1100"/>
      <c r="U68" s="1058"/>
      <c r="V68" s="1057"/>
      <c r="W68" s="1057"/>
      <c r="X68" s="1058"/>
    </row>
    <row r="69" spans="1:24" s="1101" customFormat="1" ht="10.5" customHeight="1" hidden="1">
      <c r="A69" s="1146" t="s">
        <v>439</v>
      </c>
      <c r="B69" s="1147"/>
      <c r="C69" s="1093"/>
      <c r="D69" s="1136"/>
      <c r="E69" s="1152" t="s">
        <v>440</v>
      </c>
      <c r="F69" s="1080">
        <f>'[2]Summary'!E68/15.6466</f>
        <v>0</v>
      </c>
      <c r="G69" s="1080">
        <f>'[2]Summary'!F68/15.6466</f>
        <v>0</v>
      </c>
      <c r="H69" s="1081">
        <f>'[2]Summary'!G68/15.6466</f>
        <v>0</v>
      </c>
      <c r="I69" s="1081">
        <f>'[2]Summary'!H68/15.6466</f>
        <v>0</v>
      </c>
      <c r="J69" s="1082">
        <f>'[2]Summary'!I68/15.6466</f>
        <v>0</v>
      </c>
      <c r="K69" s="1128">
        <f aca="true" t="shared" si="13" ref="K69:P69">SUM(K70:K71)</f>
        <v>0</v>
      </c>
      <c r="L69" s="1084">
        <f t="shared" si="13"/>
        <v>0</v>
      </c>
      <c r="M69" s="1129">
        <f t="shared" si="13"/>
        <v>0</v>
      </c>
      <c r="N69" s="1209">
        <f t="shared" si="13"/>
        <v>0</v>
      </c>
      <c r="O69" s="1209">
        <f t="shared" si="13"/>
        <v>0</v>
      </c>
      <c r="P69" s="1210">
        <f t="shared" si="13"/>
        <v>0</v>
      </c>
      <c r="Q69" s="1089">
        <f t="shared" si="0"/>
        <v>0</v>
      </c>
      <c r="R69" s="1090" t="e">
        <f t="shared" si="11"/>
        <v>#DIV/0!</v>
      </c>
      <c r="S69" s="1100"/>
      <c r="U69" s="1058"/>
      <c r="V69" s="1057"/>
      <c r="W69" s="1057"/>
      <c r="X69" s="1058"/>
    </row>
    <row r="70" spans="1:24" s="1118" customFormat="1" ht="12" hidden="1">
      <c r="A70" s="1091" t="s">
        <v>441</v>
      </c>
      <c r="B70" s="1092"/>
      <c r="C70" s="1113"/>
      <c r="D70" s="1114"/>
      <c r="E70" s="1211" t="s">
        <v>442</v>
      </c>
      <c r="F70" s="1080">
        <f>'[2]Summary'!E69/15.6466</f>
        <v>0</v>
      </c>
      <c r="G70" s="1080">
        <f>'[2]Summary'!F69/15.6466</f>
        <v>0</v>
      </c>
      <c r="H70" s="1081">
        <f>'[2]Summary'!G69/15.6466</f>
        <v>0</v>
      </c>
      <c r="I70" s="1081">
        <f>'[2]Summary'!H69/15.6466</f>
        <v>0</v>
      </c>
      <c r="J70" s="1082">
        <f>'[2]Summary'!I69/15.6466</f>
        <v>0</v>
      </c>
      <c r="K70" s="1096"/>
      <c r="L70" s="1084">
        <f>J70+K70</f>
        <v>0</v>
      </c>
      <c r="M70" s="1097"/>
      <c r="N70" s="1144"/>
      <c r="O70" s="1212"/>
      <c r="P70" s="1213"/>
      <c r="Q70" s="1089">
        <f t="shared" si="0"/>
        <v>0</v>
      </c>
      <c r="R70" s="1090" t="e">
        <f t="shared" si="11"/>
        <v>#DIV/0!</v>
      </c>
      <c r="S70" s="1117"/>
      <c r="U70" s="1058"/>
      <c r="V70" s="1057"/>
      <c r="W70" s="1057"/>
      <c r="X70" s="1058"/>
    </row>
    <row r="71" spans="1:24" s="1118" customFormat="1" ht="12" hidden="1">
      <c r="A71" s="1091" t="s">
        <v>443</v>
      </c>
      <c r="B71" s="1092"/>
      <c r="C71" s="1113"/>
      <c r="D71" s="1114"/>
      <c r="E71" s="1211" t="s">
        <v>444</v>
      </c>
      <c r="F71" s="1080">
        <f>'[2]Summary'!E70/15.6466</f>
        <v>0</v>
      </c>
      <c r="G71" s="1080">
        <f>'[2]Summary'!F70/15.6466</f>
        <v>0</v>
      </c>
      <c r="H71" s="1081">
        <f>'[2]Summary'!G70/15.6466</f>
        <v>0</v>
      </c>
      <c r="I71" s="1081">
        <f>'[2]Summary'!H70/15.6466</f>
        <v>0</v>
      </c>
      <c r="J71" s="1082">
        <f>'[2]Summary'!I70/15.6466</f>
        <v>0</v>
      </c>
      <c r="K71" s="1096"/>
      <c r="L71" s="1084">
        <f>J71+K71</f>
        <v>0</v>
      </c>
      <c r="M71" s="1097"/>
      <c r="N71" s="1144"/>
      <c r="O71" s="1212"/>
      <c r="P71" s="1213"/>
      <c r="Q71" s="1089">
        <f t="shared" si="0"/>
        <v>0</v>
      </c>
      <c r="R71" s="1090" t="e">
        <f t="shared" si="11"/>
        <v>#DIV/0!</v>
      </c>
      <c r="S71" s="1117"/>
      <c r="U71" s="1058"/>
      <c r="V71" s="1057"/>
      <c r="W71" s="1057"/>
      <c r="X71" s="1058"/>
    </row>
    <row r="72" spans="1:24" s="1121" customFormat="1" ht="12">
      <c r="A72" s="1102" t="s">
        <v>445</v>
      </c>
      <c r="B72" s="1103"/>
      <c r="C72" s="1104"/>
      <c r="D72" s="1214"/>
      <c r="E72" s="1152" t="s">
        <v>446</v>
      </c>
      <c r="F72" s="1080">
        <f>'[2]Summary'!E71/15.6466</f>
        <v>0</v>
      </c>
      <c r="G72" s="1080">
        <f>'[2]Summary'!F71/15.6466</f>
        <v>21576.572546112257</v>
      </c>
      <c r="H72" s="1081">
        <f>'[2]Summary'!G71/15.6466</f>
        <v>34895.760101236054</v>
      </c>
      <c r="I72" s="1081">
        <f>'[2]Summary'!H71/15.6466</f>
        <v>34895.760101236054</v>
      </c>
      <c r="J72" s="1082">
        <f>'[2]Summary'!I71/15.6466</f>
        <v>22369.07698797183</v>
      </c>
      <c r="K72" s="1083">
        <f aca="true" t="shared" si="14" ref="K72:P72">SUM(K73:K75)</f>
        <v>0</v>
      </c>
      <c r="L72" s="1107">
        <f t="shared" si="14"/>
        <v>22369.07698797183</v>
      </c>
      <c r="M72" s="1108">
        <f t="shared" si="14"/>
        <v>0</v>
      </c>
      <c r="N72" s="1153">
        <f t="shared" si="14"/>
        <v>22369.07698797183</v>
      </c>
      <c r="O72" s="1153">
        <f t="shared" si="14"/>
        <v>0</v>
      </c>
      <c r="P72" s="1215">
        <f t="shared" si="14"/>
        <v>22369.07698797183</v>
      </c>
      <c r="Q72" s="1089">
        <f t="shared" si="0"/>
        <v>34895.760101236054</v>
      </c>
      <c r="R72" s="1090"/>
      <c r="S72" s="1111"/>
      <c r="U72" s="1058"/>
      <c r="V72" s="1057"/>
      <c r="W72" s="1057"/>
      <c r="X72" s="1058"/>
    </row>
    <row r="73" spans="1:24" s="1224" customFormat="1" ht="12">
      <c r="A73" s="1137" t="s">
        <v>447</v>
      </c>
      <c r="B73" s="1138"/>
      <c r="C73" s="1139">
        <v>5512</v>
      </c>
      <c r="D73" s="1216"/>
      <c r="E73" s="1211" t="s">
        <v>448</v>
      </c>
      <c r="F73" s="1080">
        <f>'[2]Summary'!E72/15.6466</f>
        <v>0</v>
      </c>
      <c r="G73" s="1080">
        <f>'[2]Summary'!F72/15.6466</f>
        <v>13268.058236294148</v>
      </c>
      <c r="H73" s="1081">
        <f>'[2]Summary'!G72/15.6466</f>
        <v>34895.760101236054</v>
      </c>
      <c r="I73" s="1081">
        <f>'[2]Summary'!H72/15.6466</f>
        <v>34895.760101236054</v>
      </c>
      <c r="J73" s="1082">
        <f>'[2]Summary'!I72/15.6466</f>
        <v>22369.07698797183</v>
      </c>
      <c r="K73" s="1217"/>
      <c r="L73" s="1218">
        <f>J73+K73</f>
        <v>22369.07698797183</v>
      </c>
      <c r="M73" s="1219"/>
      <c r="N73" s="1220">
        <f>L73+M73</f>
        <v>22369.07698797183</v>
      </c>
      <c r="O73" s="1221"/>
      <c r="P73" s="1222">
        <f>N73+O73</f>
        <v>22369.07698797183</v>
      </c>
      <c r="Q73" s="1089">
        <f t="shared" si="0"/>
        <v>34895.760101236054</v>
      </c>
      <c r="R73" s="1090"/>
      <c r="S73" s="1223"/>
      <c r="U73" s="1058"/>
      <c r="V73" s="1057"/>
      <c r="W73" s="1057"/>
      <c r="X73" s="1058"/>
    </row>
    <row r="74" spans="1:24" s="1118" customFormat="1" ht="12">
      <c r="A74" s="1091"/>
      <c r="B74" s="1092"/>
      <c r="C74" s="1139">
        <v>5540</v>
      </c>
      <c r="D74" s="1114"/>
      <c r="E74" s="1211" t="s">
        <v>449</v>
      </c>
      <c r="F74" s="1080">
        <f>'[2]Summary'!E73/15.6466</f>
        <v>0</v>
      </c>
      <c r="G74" s="1080">
        <f>'[2]Summary'!F73/15.6466</f>
        <v>8308.514309818107</v>
      </c>
      <c r="H74" s="1081">
        <f>'[2]Summary'!G73/15.6466</f>
        <v>0</v>
      </c>
      <c r="I74" s="1081">
        <f>'[2]Summary'!H73/15.6466</f>
        <v>0</v>
      </c>
      <c r="J74" s="1082">
        <f>'[2]Summary'!I73/15.6466</f>
        <v>0</v>
      </c>
      <c r="K74" s="1096"/>
      <c r="L74" s="1084">
        <f>J74+K74</f>
        <v>0</v>
      </c>
      <c r="M74" s="1097"/>
      <c r="N74" s="1220">
        <f aca="true" t="shared" si="15" ref="N74:N80">L74+M74</f>
        <v>0</v>
      </c>
      <c r="O74" s="1212"/>
      <c r="P74" s="1213"/>
      <c r="Q74" s="1089">
        <f t="shared" si="0"/>
        <v>0</v>
      </c>
      <c r="R74" s="1090"/>
      <c r="S74" s="1117"/>
      <c r="U74" s="1058"/>
      <c r="V74" s="1057"/>
      <c r="W74" s="1057"/>
      <c r="X74" s="1058"/>
    </row>
    <row r="75" spans="1:24" s="1118" customFormat="1" ht="12" hidden="1">
      <c r="A75" s="1091" t="s">
        <v>450</v>
      </c>
      <c r="B75" s="1092"/>
      <c r="C75" s="1113"/>
      <c r="D75" s="1114"/>
      <c r="E75" s="1211" t="s">
        <v>451</v>
      </c>
      <c r="F75" s="1080">
        <f>'[2]Summary'!E74/15.6466</f>
        <v>0</v>
      </c>
      <c r="G75" s="1080">
        <f>'[2]Summary'!F74/15.6466</f>
        <v>0</v>
      </c>
      <c r="H75" s="1081">
        <f>'[2]Summary'!G74/15.6466</f>
        <v>0</v>
      </c>
      <c r="I75" s="1081">
        <f>'[2]Summary'!H74/15.6466</f>
        <v>0</v>
      </c>
      <c r="J75" s="1082">
        <f>'[2]Summary'!I74/15.6466</f>
        <v>0</v>
      </c>
      <c r="K75" s="1096"/>
      <c r="L75" s="1084">
        <f>J75+K75</f>
        <v>0</v>
      </c>
      <c r="M75" s="1097"/>
      <c r="N75" s="1220">
        <f t="shared" si="15"/>
        <v>0</v>
      </c>
      <c r="O75" s="1212"/>
      <c r="P75" s="1213"/>
      <c r="Q75" s="1089">
        <f t="shared" si="0"/>
        <v>0</v>
      </c>
      <c r="R75" s="1090" t="e">
        <f aca="true" t="shared" si="16" ref="R75:R81">N75/I75%</f>
        <v>#DIV/0!</v>
      </c>
      <c r="S75" s="1117"/>
      <c r="U75" s="1058"/>
      <c r="V75" s="1057"/>
      <c r="W75" s="1057"/>
      <c r="X75" s="1058"/>
    </row>
    <row r="76" spans="1:24" s="1118" customFormat="1" ht="12" hidden="1">
      <c r="A76" s="1091" t="s">
        <v>452</v>
      </c>
      <c r="B76" s="1092"/>
      <c r="C76" s="1113"/>
      <c r="D76" s="1114"/>
      <c r="E76" s="1225" t="s">
        <v>453</v>
      </c>
      <c r="F76" s="1080">
        <f>'[2]Summary'!E75/15.6466</f>
        <v>0</v>
      </c>
      <c r="G76" s="1080">
        <f>'[2]Summary'!F75/15.6466</f>
        <v>0</v>
      </c>
      <c r="H76" s="1081">
        <f>'[2]Summary'!G75/15.6466</f>
        <v>0</v>
      </c>
      <c r="I76" s="1081">
        <f>'[2]Summary'!H75/15.6466</f>
        <v>0</v>
      </c>
      <c r="J76" s="1082">
        <f>'[2]Summary'!I75/15.6466</f>
        <v>0</v>
      </c>
      <c r="K76" s="1096"/>
      <c r="L76" s="1084">
        <f>J76+K76</f>
        <v>0</v>
      </c>
      <c r="M76" s="1097"/>
      <c r="N76" s="1220">
        <f t="shared" si="15"/>
        <v>0</v>
      </c>
      <c r="O76" s="1212"/>
      <c r="P76" s="1213"/>
      <c r="Q76" s="1089">
        <f t="shared" si="0"/>
        <v>0</v>
      </c>
      <c r="R76" s="1090" t="e">
        <f t="shared" si="16"/>
        <v>#DIV/0!</v>
      </c>
      <c r="S76" s="1117"/>
      <c r="U76" s="1058"/>
      <c r="V76" s="1057"/>
      <c r="W76" s="1057"/>
      <c r="X76" s="1058"/>
    </row>
    <row r="77" spans="1:24" s="1101" customFormat="1" ht="12" hidden="1">
      <c r="A77" s="1146" t="s">
        <v>454</v>
      </c>
      <c r="B77" s="1147"/>
      <c r="C77" s="1093"/>
      <c r="D77" s="1136"/>
      <c r="E77" s="1152" t="s">
        <v>455</v>
      </c>
      <c r="F77" s="1080">
        <f>'[2]Summary'!E76/15.6466</f>
        <v>0</v>
      </c>
      <c r="G77" s="1080">
        <f>'[2]Summary'!F76/15.6466</f>
        <v>0</v>
      </c>
      <c r="H77" s="1081">
        <f>'[2]Summary'!G76/15.6466</f>
        <v>0</v>
      </c>
      <c r="I77" s="1081">
        <f>'[2]Summary'!H76/15.6466</f>
        <v>0</v>
      </c>
      <c r="J77" s="1082">
        <f>'[2]Summary'!I76/15.6466</f>
        <v>0</v>
      </c>
      <c r="K77" s="1128">
        <f aca="true" t="shared" si="17" ref="K77:P77">SUM(K78:K80)</f>
        <v>0</v>
      </c>
      <c r="L77" s="1084">
        <f t="shared" si="17"/>
        <v>0</v>
      </c>
      <c r="M77" s="1129">
        <f t="shared" si="17"/>
        <v>0</v>
      </c>
      <c r="N77" s="1220">
        <f t="shared" si="15"/>
        <v>0</v>
      </c>
      <c r="O77" s="1209">
        <f t="shared" si="17"/>
        <v>0</v>
      </c>
      <c r="P77" s="1210">
        <f t="shared" si="17"/>
        <v>0</v>
      </c>
      <c r="Q77" s="1089">
        <f t="shared" si="0"/>
        <v>0</v>
      </c>
      <c r="R77" s="1090" t="e">
        <f t="shared" si="16"/>
        <v>#DIV/0!</v>
      </c>
      <c r="S77" s="1100"/>
      <c r="U77" s="1058"/>
      <c r="V77" s="1057"/>
      <c r="W77" s="1057"/>
      <c r="X77" s="1058"/>
    </row>
    <row r="78" spans="1:24" s="1118" customFormat="1" ht="12" hidden="1">
      <c r="A78" s="1091" t="s">
        <v>456</v>
      </c>
      <c r="B78" s="1092"/>
      <c r="C78" s="1113"/>
      <c r="D78" s="1114"/>
      <c r="E78" s="1211" t="s">
        <v>457</v>
      </c>
      <c r="F78" s="1080">
        <f>'[2]Summary'!E77/15.6466</f>
        <v>0</v>
      </c>
      <c r="G78" s="1080">
        <f>'[2]Summary'!F77/15.6466</f>
        <v>0</v>
      </c>
      <c r="H78" s="1081">
        <f>'[2]Summary'!G77/15.6466</f>
        <v>0</v>
      </c>
      <c r="I78" s="1081">
        <f>'[2]Summary'!H77/15.6466</f>
        <v>0</v>
      </c>
      <c r="J78" s="1082">
        <f>'[2]Summary'!I77/15.6466</f>
        <v>0</v>
      </c>
      <c r="K78" s="1096"/>
      <c r="L78" s="1084">
        <f>J78+K78</f>
        <v>0</v>
      </c>
      <c r="M78" s="1097"/>
      <c r="N78" s="1220">
        <f t="shared" si="15"/>
        <v>0</v>
      </c>
      <c r="O78" s="1212"/>
      <c r="P78" s="1213"/>
      <c r="Q78" s="1089">
        <f aca="true" t="shared" si="18" ref="Q78:Q148">I78-F78</f>
        <v>0</v>
      </c>
      <c r="R78" s="1090" t="e">
        <f t="shared" si="16"/>
        <v>#DIV/0!</v>
      </c>
      <c r="S78" s="1117"/>
      <c r="U78" s="1058"/>
      <c r="V78" s="1057"/>
      <c r="W78" s="1057"/>
      <c r="X78" s="1058"/>
    </row>
    <row r="79" spans="1:24" s="1118" customFormat="1" ht="12" hidden="1">
      <c r="A79" s="1091" t="s">
        <v>458</v>
      </c>
      <c r="B79" s="1092"/>
      <c r="C79" s="1113"/>
      <c r="D79" s="1114"/>
      <c r="E79" s="1211" t="s">
        <v>459</v>
      </c>
      <c r="F79" s="1080">
        <f>'[2]Summary'!E78/15.6466</f>
        <v>0</v>
      </c>
      <c r="G79" s="1080">
        <f>'[2]Summary'!F78/15.6466</f>
        <v>0</v>
      </c>
      <c r="H79" s="1081">
        <f>'[2]Summary'!G78/15.6466</f>
        <v>0</v>
      </c>
      <c r="I79" s="1081">
        <f>'[2]Summary'!H78/15.6466</f>
        <v>0</v>
      </c>
      <c r="J79" s="1082">
        <f>'[2]Summary'!I78/15.6466</f>
        <v>0</v>
      </c>
      <c r="K79" s="1096"/>
      <c r="L79" s="1084">
        <f>J79+K79</f>
        <v>0</v>
      </c>
      <c r="M79" s="1097"/>
      <c r="N79" s="1220">
        <f t="shared" si="15"/>
        <v>0</v>
      </c>
      <c r="O79" s="1212"/>
      <c r="P79" s="1213"/>
      <c r="Q79" s="1089">
        <f t="shared" si="18"/>
        <v>0</v>
      </c>
      <c r="R79" s="1090" t="e">
        <f t="shared" si="16"/>
        <v>#DIV/0!</v>
      </c>
      <c r="S79" s="1117"/>
      <c r="U79" s="1058"/>
      <c r="V79" s="1057"/>
      <c r="W79" s="1057"/>
      <c r="X79" s="1058"/>
    </row>
    <row r="80" spans="1:24" s="1118" customFormat="1" ht="12" hidden="1">
      <c r="A80" s="1091" t="s">
        <v>460</v>
      </c>
      <c r="B80" s="1092"/>
      <c r="C80" s="1113"/>
      <c r="D80" s="1114"/>
      <c r="E80" s="1211" t="s">
        <v>461</v>
      </c>
      <c r="F80" s="1080">
        <f>'[2]Summary'!E79/15.6466</f>
        <v>0</v>
      </c>
      <c r="G80" s="1080">
        <f>'[2]Summary'!F79/15.6466</f>
        <v>0</v>
      </c>
      <c r="H80" s="1081">
        <f>'[2]Summary'!G79/15.6466</f>
        <v>0</v>
      </c>
      <c r="I80" s="1081">
        <f>'[2]Summary'!H79/15.6466</f>
        <v>0</v>
      </c>
      <c r="J80" s="1082">
        <f>'[2]Summary'!I79/15.6466</f>
        <v>0</v>
      </c>
      <c r="K80" s="1096"/>
      <c r="L80" s="1084">
        <f>J80+K80</f>
        <v>0</v>
      </c>
      <c r="M80" s="1097"/>
      <c r="N80" s="1220">
        <f t="shared" si="15"/>
        <v>0</v>
      </c>
      <c r="O80" s="1212"/>
      <c r="P80" s="1213"/>
      <c r="Q80" s="1089">
        <f t="shared" si="18"/>
        <v>0</v>
      </c>
      <c r="R80" s="1090" t="e">
        <f t="shared" si="16"/>
        <v>#DIV/0!</v>
      </c>
      <c r="S80" s="1117"/>
      <c r="U80" s="1058"/>
      <c r="V80" s="1057"/>
      <c r="W80" s="1057"/>
      <c r="X80" s="1058"/>
    </row>
    <row r="81" spans="1:24" s="1121" customFormat="1" ht="11.25">
      <c r="A81" s="1102" t="s">
        <v>462</v>
      </c>
      <c r="B81" s="1103"/>
      <c r="C81" s="1104"/>
      <c r="D81" s="1105"/>
      <c r="E81" s="1152" t="s">
        <v>463</v>
      </c>
      <c r="F81" s="1080">
        <f>'[2]Summary'!E80/15.6466</f>
        <v>639641.1360934644</v>
      </c>
      <c r="G81" s="1080">
        <f>'[2]Summary'!F80/15.6466</f>
        <v>870196.0170260632</v>
      </c>
      <c r="H81" s="1081">
        <f>'[2]Summary'!G80/15.6466</f>
        <v>699193.4349954623</v>
      </c>
      <c r="I81" s="1081">
        <f>'[2]Summary'!H80/15.6466</f>
        <v>878472.0003067759</v>
      </c>
      <c r="J81" s="1154">
        <f>SUM(J82:J86)</f>
        <v>838582.2479005023</v>
      </c>
      <c r="K81" s="1083">
        <f>SUM(K82:K86)</f>
        <v>141453</v>
      </c>
      <c r="L81" s="1107">
        <f>SUM(L82:L86)</f>
        <v>980035.2479005023</v>
      </c>
      <c r="M81" s="1108">
        <f>SUM(M82:M86)</f>
        <v>121296</v>
      </c>
      <c r="N81" s="1109">
        <f>SUM(N82:N86)</f>
        <v>1101331.2479005023</v>
      </c>
      <c r="O81" s="1109">
        <f>SUM(O83:O86)</f>
        <v>0</v>
      </c>
      <c r="P81" s="1110">
        <f>SUM(P83:P86)</f>
        <v>716329.2115731213</v>
      </c>
      <c r="Q81" s="1089">
        <f t="shared" si="18"/>
        <v>238830.86421331146</v>
      </c>
      <c r="R81" s="1090">
        <f t="shared" si="16"/>
        <v>125.36896423743732</v>
      </c>
      <c r="S81" s="1111"/>
      <c r="U81" s="1058"/>
      <c r="V81" s="1057"/>
      <c r="W81" s="1057"/>
      <c r="X81" s="1058"/>
    </row>
    <row r="82" spans="1:24" s="1121" customFormat="1" ht="12">
      <c r="A82" s="1102" t="s">
        <v>464</v>
      </c>
      <c r="B82" s="1103"/>
      <c r="C82" s="1226">
        <v>1551</v>
      </c>
      <c r="D82" s="1105"/>
      <c r="E82" s="1079" t="s">
        <v>465</v>
      </c>
      <c r="F82" s="1080">
        <f>'[2]Summary'!E81/15.6466</f>
        <v>0</v>
      </c>
      <c r="G82" s="1080">
        <f>'[2]Summary'!F81/15.6466</f>
        <v>25564.659414824946</v>
      </c>
      <c r="H82" s="1081">
        <f>'[2]Summary'!G81/15.6466</f>
        <v>0</v>
      </c>
      <c r="I82" s="1081">
        <f>'[2]Summary'!H81/15.6466</f>
        <v>146948.21878235528</v>
      </c>
      <c r="J82" s="1082">
        <f>'[2]Summary'!I81/15.6466</f>
        <v>319558.2426853118</v>
      </c>
      <c r="K82" s="1083"/>
      <c r="L82" s="1218">
        <f aca="true" t="shared" si="19" ref="L82:L87">J82+K82</f>
        <v>319558.2426853118</v>
      </c>
      <c r="M82" s="1129">
        <f>-118520+102796</f>
        <v>-15724</v>
      </c>
      <c r="N82" s="1220">
        <f>L82+M82</f>
        <v>303834.2426853118</v>
      </c>
      <c r="O82" s="1110"/>
      <c r="P82" s="1215"/>
      <c r="Q82" s="1089">
        <f t="shared" si="18"/>
        <v>146948.21878235528</v>
      </c>
      <c r="R82" s="1090"/>
      <c r="S82" s="1111"/>
      <c r="T82" s="1111"/>
      <c r="U82" s="1058"/>
      <c r="V82" s="1057"/>
      <c r="W82" s="1057"/>
      <c r="X82" s="1058"/>
    </row>
    <row r="83" spans="1:24" s="1224" customFormat="1" ht="12">
      <c r="A83" s="1137" t="s">
        <v>464</v>
      </c>
      <c r="B83" s="1138"/>
      <c r="C83" s="1139">
        <v>5512</v>
      </c>
      <c r="D83" s="1216"/>
      <c r="E83" s="1225" t="s">
        <v>466</v>
      </c>
      <c r="F83" s="1080">
        <f>'[2]Summary'!E82/15.6466</f>
        <v>486892.29608988535</v>
      </c>
      <c r="G83" s="1080">
        <f>'[2]Summary'!F82/15.6466</f>
        <v>759718.3413648972</v>
      </c>
      <c r="H83" s="1081">
        <f>'[2]Summary'!G82/15.6466</f>
        <v>600130.3797630157</v>
      </c>
      <c r="I83" s="1081">
        <f>'[2]Summary'!H82/15.6466</f>
        <v>572703.3349098207</v>
      </c>
      <c r="J83" s="1082">
        <f>'[2]Summary'!I82/15.6466</f>
        <v>418682.7170120026</v>
      </c>
      <c r="K83" s="1217">
        <v>141453</v>
      </c>
      <c r="L83" s="1218">
        <f t="shared" si="19"/>
        <v>560135.7170120026</v>
      </c>
      <c r="M83" s="1219">
        <f>118520+18500</f>
        <v>137020</v>
      </c>
      <c r="N83" s="1220">
        <f>L83+M83</f>
        <v>697155.7170120026</v>
      </c>
      <c r="O83" s="1221"/>
      <c r="P83" s="1222">
        <f>N83+O83</f>
        <v>697155.7170120026</v>
      </c>
      <c r="Q83" s="1089">
        <f t="shared" si="18"/>
        <v>85811.03881993535</v>
      </c>
      <c r="R83" s="1090">
        <f>N83/I83%</f>
        <v>121.73068926196815</v>
      </c>
      <c r="S83" s="1223"/>
      <c r="T83" s="1223"/>
      <c r="U83" s="1058"/>
      <c r="V83" s="1057"/>
      <c r="W83" s="1057"/>
      <c r="X83" s="1058"/>
    </row>
    <row r="84" spans="1:24" s="1224" customFormat="1" ht="12">
      <c r="A84" s="1137" t="s">
        <v>467</v>
      </c>
      <c r="B84" s="1138"/>
      <c r="C84" s="1139">
        <v>5512</v>
      </c>
      <c r="D84" s="1216"/>
      <c r="E84" s="1211" t="s">
        <v>468</v>
      </c>
      <c r="F84" s="1080">
        <f>'[2]Summary'!E83/15.6466</f>
        <v>51129.31882964989</v>
      </c>
      <c r="G84" s="1080">
        <f>'[2]Summary'!F83/15.6466</f>
        <v>21832.219140260506</v>
      </c>
      <c r="H84" s="1081">
        <f>'[2]Summary'!G83/15.6466</f>
        <v>17895.261590377464</v>
      </c>
      <c r="I84" s="1081">
        <f>'[2]Summary'!H83/15.6466</f>
        <v>1853.4378075748086</v>
      </c>
      <c r="J84" s="1082">
        <f>'[2]Summary'!I83/15.6466</f>
        <v>19173.49456111871</v>
      </c>
      <c r="K84" s="1217"/>
      <c r="L84" s="1218">
        <f t="shared" si="19"/>
        <v>19173.49456111871</v>
      </c>
      <c r="M84" s="1219"/>
      <c r="N84" s="1220">
        <f>L84+M84</f>
        <v>19173.49456111871</v>
      </c>
      <c r="O84" s="1221"/>
      <c r="P84" s="1222">
        <f>N84+O84</f>
        <v>19173.49456111871</v>
      </c>
      <c r="Q84" s="1089">
        <f t="shared" si="18"/>
        <v>-49275.88102207508</v>
      </c>
      <c r="R84" s="1090"/>
      <c r="S84" s="1223"/>
      <c r="T84" s="1223"/>
      <c r="U84" s="1058"/>
      <c r="V84" s="1057"/>
      <c r="W84" s="1057"/>
      <c r="X84" s="1058"/>
    </row>
    <row r="85" spans="1:24" s="1224" customFormat="1" ht="12">
      <c r="A85" s="1137" t="s">
        <v>467</v>
      </c>
      <c r="B85" s="1138"/>
      <c r="C85" s="1139">
        <v>1551</v>
      </c>
      <c r="D85" s="1216"/>
      <c r="E85" s="1211" t="s">
        <v>469</v>
      </c>
      <c r="F85" s="1080">
        <f>'[2]Summary'!E84/15.6466</f>
        <v>0</v>
      </c>
      <c r="G85" s="1080">
        <f>'[2]Summary'!F84/15.6466</f>
        <v>0</v>
      </c>
      <c r="H85" s="1081">
        <f>'[2]Summary'!G84/15.6466</f>
        <v>0</v>
      </c>
      <c r="I85" s="1081">
        <f>'[2]Summary'!H84/15.6466</f>
        <v>75799.21516495597</v>
      </c>
      <c r="J85" s="1082">
        <f>'[2]Summary'!I84/15.6466</f>
        <v>0</v>
      </c>
      <c r="K85" s="1217"/>
      <c r="L85" s="1218">
        <f t="shared" si="19"/>
        <v>0</v>
      </c>
      <c r="M85" s="1219"/>
      <c r="N85" s="1220"/>
      <c r="O85" s="1221"/>
      <c r="P85" s="1222"/>
      <c r="Q85" s="1089"/>
      <c r="R85" s="1090"/>
      <c r="S85" s="1223"/>
      <c r="U85" s="1058"/>
      <c r="V85" s="1057"/>
      <c r="W85" s="1057"/>
      <c r="X85" s="1058"/>
    </row>
    <row r="86" spans="1:24" s="1118" customFormat="1" ht="12">
      <c r="A86" s="1137" t="s">
        <v>470</v>
      </c>
      <c r="B86" s="1138"/>
      <c r="C86" s="1139">
        <v>5540</v>
      </c>
      <c r="D86" s="1114"/>
      <c r="E86" s="1211" t="s">
        <v>449</v>
      </c>
      <c r="F86" s="1080">
        <f>'[2]Summary'!E85/15.6466</f>
        <v>101619.52117392917</v>
      </c>
      <c r="G86" s="1080">
        <f>'[2]Summary'!F85/15.6466</f>
        <v>63080.79710608056</v>
      </c>
      <c r="H86" s="1081">
        <f>'[2]Summary'!G85/15.6466</f>
        <v>81167.79364206921</v>
      </c>
      <c r="I86" s="1081">
        <f>'[2]Summary'!H85/15.6466</f>
        <v>81167.79364206921</v>
      </c>
      <c r="J86" s="1082">
        <f>'[2]Summary'!I85/15.6466</f>
        <v>81167.79364206921</v>
      </c>
      <c r="K86" s="1217"/>
      <c r="L86" s="1084">
        <f t="shared" si="19"/>
        <v>81167.79364206921</v>
      </c>
      <c r="M86" s="1219"/>
      <c r="N86" s="1220">
        <f>L86+M86</f>
        <v>81167.79364206921</v>
      </c>
      <c r="O86" s="1221"/>
      <c r="P86" s="1227"/>
      <c r="Q86" s="1089">
        <f t="shared" si="18"/>
        <v>-20451.727531859957</v>
      </c>
      <c r="R86" s="1090">
        <f>N86/I86%</f>
        <v>100</v>
      </c>
      <c r="S86" s="1117"/>
      <c r="U86" s="1058"/>
      <c r="V86" s="1057"/>
      <c r="W86" s="1057"/>
      <c r="X86" s="1058"/>
    </row>
    <row r="87" spans="1:24" s="1121" customFormat="1" ht="12">
      <c r="A87" s="1102" t="s">
        <v>471</v>
      </c>
      <c r="B87" s="1103"/>
      <c r="C87" s="1104"/>
      <c r="D87" s="1105"/>
      <c r="E87" s="1152" t="s">
        <v>472</v>
      </c>
      <c r="F87" s="1080">
        <f>'[2]Summary'!E86/15.6466</f>
        <v>0</v>
      </c>
      <c r="G87" s="1080">
        <f>'[2]Summary'!F86/15.6466</f>
        <v>64156.11059271663</v>
      </c>
      <c r="H87" s="1081">
        <f>'[2]Summary'!G86/15.6466</f>
        <v>19173.49456111871</v>
      </c>
      <c r="I87" s="1081">
        <f>'[2]Summary'!H86/15.6466</f>
        <v>19173.49456111871</v>
      </c>
      <c r="J87" s="1082">
        <f>'[2]Summary'!I86/15.6466</f>
        <v>19173.49456111871</v>
      </c>
      <c r="K87" s="1155">
        <f aca="true" t="shared" si="20" ref="K87:P87">SUM(K89)</f>
        <v>0</v>
      </c>
      <c r="L87" s="1084">
        <f t="shared" si="19"/>
        <v>19173.49456111871</v>
      </c>
      <c r="M87" s="1156">
        <f>SUM(M88:M90)</f>
        <v>10000</v>
      </c>
      <c r="N87" s="1153">
        <f>SUM(N88:N90)</f>
        <v>29173.49456111871</v>
      </c>
      <c r="O87" s="1109">
        <f t="shared" si="20"/>
        <v>0</v>
      </c>
      <c r="P87" s="1110">
        <f t="shared" si="20"/>
        <v>14553.49456111871</v>
      </c>
      <c r="Q87" s="1089">
        <f t="shared" si="18"/>
        <v>19173.49456111871</v>
      </c>
      <c r="R87" s="1090"/>
      <c r="S87" s="1111"/>
      <c r="U87" s="1058"/>
      <c r="V87" s="1057"/>
      <c r="W87" s="1057"/>
      <c r="X87" s="1058"/>
    </row>
    <row r="88" spans="1:24" s="1121" customFormat="1" ht="12">
      <c r="A88" s="1228" t="s">
        <v>473</v>
      </c>
      <c r="B88" s="1229"/>
      <c r="C88" s="1104">
        <v>5502</v>
      </c>
      <c r="D88" s="1105"/>
      <c r="E88" s="1152" t="s">
        <v>474</v>
      </c>
      <c r="F88" s="1080">
        <f>'[2]Summary'!E87/15.6466</f>
        <v>0</v>
      </c>
      <c r="G88" s="1080">
        <f>'[2]Summary'!F87/15.6466</f>
        <v>31955.824268531185</v>
      </c>
      <c r="H88" s="1081">
        <f>'[2]Summary'!G87/15.6466</f>
        <v>0</v>
      </c>
      <c r="I88" s="1081">
        <f>'[2]Summary'!H87/15.6466</f>
        <v>0</v>
      </c>
      <c r="J88" s="1082">
        <f>'[2]Summary'!I87/15.6466</f>
        <v>0</v>
      </c>
      <c r="K88" s="1083"/>
      <c r="L88" s="1107"/>
      <c r="M88" s="1108">
        <f>1500+10000</f>
        <v>11500</v>
      </c>
      <c r="N88" s="1220">
        <f>L88+M88</f>
        <v>11500</v>
      </c>
      <c r="O88" s="1110"/>
      <c r="P88" s="1215"/>
      <c r="Q88" s="1089">
        <f t="shared" si="18"/>
        <v>0</v>
      </c>
      <c r="R88" s="1090"/>
      <c r="S88" s="1111"/>
      <c r="U88" s="1058"/>
      <c r="V88" s="1057"/>
      <c r="W88" s="1057"/>
      <c r="X88" s="1058"/>
    </row>
    <row r="89" spans="1:24" s="1224" customFormat="1" ht="12">
      <c r="A89" s="1137"/>
      <c r="B89" s="1138"/>
      <c r="C89" s="1139">
        <v>5512</v>
      </c>
      <c r="D89" s="1216"/>
      <c r="E89" s="1211" t="s">
        <v>475</v>
      </c>
      <c r="F89" s="1080">
        <f>'[2]Summary'!E88/15.6466</f>
        <v>0</v>
      </c>
      <c r="G89" s="1080">
        <f>'[2]Summary'!F88/15.6466</f>
        <v>32200.286324185447</v>
      </c>
      <c r="H89" s="1081">
        <f>'[2]Summary'!G88/15.6466</f>
        <v>6391.1648537062365</v>
      </c>
      <c r="I89" s="1081">
        <f>'[2]Summary'!H88/15.6466</f>
        <v>6391.1648537062365</v>
      </c>
      <c r="J89" s="1082">
        <f>'[2]Summary'!I88/15.6466</f>
        <v>19173.49456111871</v>
      </c>
      <c r="K89" s="1217"/>
      <c r="L89" s="1218">
        <f>J89+K89</f>
        <v>19173.49456111871</v>
      </c>
      <c r="M89" s="1219">
        <v>-4620</v>
      </c>
      <c r="N89" s="1220">
        <f>L89+M89</f>
        <v>14553.49456111871</v>
      </c>
      <c r="O89" s="1221"/>
      <c r="P89" s="1222">
        <f>N89+O89</f>
        <v>14553.49456111871</v>
      </c>
      <c r="Q89" s="1089">
        <f t="shared" si="18"/>
        <v>6391.1648537062365</v>
      </c>
      <c r="R89" s="1090"/>
      <c r="S89" s="1223"/>
      <c r="U89" s="1058"/>
      <c r="V89" s="1057"/>
      <c r="W89" s="1057"/>
      <c r="X89" s="1058"/>
    </row>
    <row r="90" spans="1:24" s="1224" customFormat="1" ht="12">
      <c r="A90" s="1137"/>
      <c r="B90" s="1138"/>
      <c r="C90" s="1139">
        <v>1551</v>
      </c>
      <c r="D90" s="1216"/>
      <c r="E90" s="1211" t="s">
        <v>476</v>
      </c>
      <c r="F90" s="1080">
        <f>'[2]Summary'!E89/15.6466</f>
        <v>0</v>
      </c>
      <c r="G90" s="1080">
        <f>'[2]Summary'!F89/15.6466</f>
        <v>0</v>
      </c>
      <c r="H90" s="1081">
        <f>'[2]Summary'!G89/15.6466</f>
        <v>12782.329707412473</v>
      </c>
      <c r="I90" s="1081">
        <f>'[2]Summary'!H89/15.6466</f>
        <v>12782.329707412473</v>
      </c>
      <c r="J90" s="1082">
        <f>'[2]Summary'!I89/15.6466</f>
        <v>0</v>
      </c>
      <c r="K90" s="1217"/>
      <c r="L90" s="1084">
        <f>J90+K90</f>
        <v>0</v>
      </c>
      <c r="M90" s="1219">
        <v>3120</v>
      </c>
      <c r="N90" s="1220">
        <f>L90+M90</f>
        <v>3120</v>
      </c>
      <c r="O90" s="1230"/>
      <c r="P90" s="1231"/>
      <c r="Q90" s="1089">
        <f t="shared" si="18"/>
        <v>12782.329707412473</v>
      </c>
      <c r="R90" s="1090"/>
      <c r="S90" s="1223"/>
      <c r="U90" s="1058"/>
      <c r="V90" s="1057"/>
      <c r="W90" s="1057"/>
      <c r="X90" s="1058"/>
    </row>
    <row r="91" spans="1:24" s="1121" customFormat="1" ht="11.25">
      <c r="A91" s="1102" t="s">
        <v>477</v>
      </c>
      <c r="B91" s="1103"/>
      <c r="C91" s="1104"/>
      <c r="D91" s="1105"/>
      <c r="E91" s="1152" t="s">
        <v>478</v>
      </c>
      <c r="F91" s="1080">
        <f>'[2]Summary'!E90/15.6466</f>
        <v>418420.65394398785</v>
      </c>
      <c r="G91" s="1080">
        <f>'[2]Summary'!F90/15.6466</f>
        <v>535564.2120332852</v>
      </c>
      <c r="H91" s="1081">
        <f>'[2]Summary'!G90/15.6466</f>
        <v>492582.47286950523</v>
      </c>
      <c r="I91" s="1081">
        <f>'[2]Summary'!H90/15.6466</f>
        <v>592101.8117674128</v>
      </c>
      <c r="J91" s="1154">
        <f>SUM(J92:J93)</f>
        <v>496425.6822568482</v>
      </c>
      <c r="K91" s="1083">
        <f>SUM(K92:K93)</f>
        <v>19413.018</v>
      </c>
      <c r="L91" s="1107">
        <f>SUM(L92:L93)</f>
        <v>515838.7002568481</v>
      </c>
      <c r="M91" s="1108">
        <f>SUM(M92:M95)</f>
        <v>21734.8</v>
      </c>
      <c r="N91" s="1109">
        <f>SUM(N92:N95)</f>
        <v>537573.5002568482</v>
      </c>
      <c r="O91" s="1109">
        <f>SUM(O92:O95)</f>
        <v>0</v>
      </c>
      <c r="P91" s="1110">
        <f>SUM(P92:P95)</f>
        <v>285646.48111231835</v>
      </c>
      <c r="Q91" s="1089">
        <f t="shared" si="18"/>
        <v>173681.15782342496</v>
      </c>
      <c r="R91" s="1090">
        <f>N91/I91%</f>
        <v>90.79072037496412</v>
      </c>
      <c r="S91" s="1111"/>
      <c r="U91" s="1058"/>
      <c r="V91" s="1057"/>
      <c r="W91" s="1057"/>
      <c r="X91" s="1058"/>
    </row>
    <row r="92" spans="1:24" s="1121" customFormat="1" ht="12">
      <c r="A92" s="1123" t="s">
        <v>479</v>
      </c>
      <c r="B92" s="1124"/>
      <c r="C92" s="1104"/>
      <c r="D92" s="1105"/>
      <c r="E92" s="1079" t="s">
        <v>480</v>
      </c>
      <c r="F92" s="1080">
        <f>'[2]Summary'!E91/15.6466</f>
        <v>250999.1056203904</v>
      </c>
      <c r="G92" s="1080">
        <f>'[2]Summary'!F91/15.6466</f>
        <v>349282.33609857736</v>
      </c>
      <c r="H92" s="1081">
        <f>'[2]Summary'!G91/15.6466</f>
        <v>325355.66321117687</v>
      </c>
      <c r="I92" s="1081">
        <f>'[2]Summary'!H91/15.6466</f>
        <v>325675.2214538622</v>
      </c>
      <c r="J92" s="1082">
        <f>'[2]Summary'!I91/15.6466</f>
        <v>256113.8547671699</v>
      </c>
      <c r="K92" s="1128">
        <f>'[4]majandusosakond'!L229</f>
        <v>15049.57</v>
      </c>
      <c r="L92" s="1084">
        <f>J92+K92</f>
        <v>271163.42476716987</v>
      </c>
      <c r="M92" s="1129">
        <f>'[4]majandusosakond'!P229</f>
        <v>17968.528</v>
      </c>
      <c r="N92" s="1084">
        <f>L92+M92</f>
        <v>289131.95276716986</v>
      </c>
      <c r="O92" s="1151">
        <f>'[4]majandusosakond'!T229</f>
        <v>0</v>
      </c>
      <c r="P92" s="1132">
        <f>'[4]majandusosakond'!U229</f>
        <v>285646.48111231835</v>
      </c>
      <c r="Q92" s="1089">
        <f t="shared" si="18"/>
        <v>74676.11583347182</v>
      </c>
      <c r="R92" s="1090">
        <f>N92/I92%</f>
        <v>88.77922964984631</v>
      </c>
      <c r="S92" s="1111"/>
      <c r="U92" s="1058"/>
      <c r="V92" s="1057"/>
      <c r="W92" s="1057"/>
      <c r="X92" s="1058"/>
    </row>
    <row r="93" spans="1:24" s="1121" customFormat="1" ht="12">
      <c r="A93" s="1123" t="s">
        <v>479</v>
      </c>
      <c r="B93" s="1124"/>
      <c r="C93" s="1104"/>
      <c r="D93" s="1105"/>
      <c r="E93" s="1079" t="s">
        <v>481</v>
      </c>
      <c r="F93" s="1080">
        <f>'[2]Summary'!E92/15.6466</f>
        <v>167421.54832359747</v>
      </c>
      <c r="G93" s="1080">
        <f>'[2]Summary'!F92/15.6466</f>
        <v>186281.87593470787</v>
      </c>
      <c r="H93" s="1081">
        <f>'[2]Summary'!G92/15.6466</f>
        <v>167226.80965832833</v>
      </c>
      <c r="I93" s="1081">
        <f>'[2]Summary'!H92/15.6466</f>
        <v>266426.59031355055</v>
      </c>
      <c r="J93" s="1082">
        <f>'[4]buroo'!K228</f>
        <v>240311.82748967828</v>
      </c>
      <c r="K93" s="1084">
        <f>'[4]buroo'!N228</f>
        <v>4363.448</v>
      </c>
      <c r="L93" s="1084">
        <f>J93+K93</f>
        <v>244675.2754896783</v>
      </c>
      <c r="M93" s="1129">
        <f>'[4]buroo'!R228</f>
        <v>3766.272</v>
      </c>
      <c r="N93" s="1084">
        <f>L93+M93</f>
        <v>248441.54748967828</v>
      </c>
      <c r="O93" s="1132"/>
      <c r="P93" s="1232"/>
      <c r="Q93" s="1089">
        <f t="shared" si="18"/>
        <v>99005.04198995308</v>
      </c>
      <c r="R93" s="1090">
        <f>N93/I93%</f>
        <v>93.24953158665352</v>
      </c>
      <c r="S93" s="1111"/>
      <c r="U93" s="1058"/>
      <c r="V93" s="1057"/>
      <c r="W93" s="1057"/>
      <c r="X93" s="1058"/>
    </row>
    <row r="94" spans="1:24" s="1121" customFormat="1" ht="11.25">
      <c r="A94" s="1123"/>
      <c r="B94" s="1233"/>
      <c r="C94" s="1234"/>
      <c r="J94" s="1235"/>
      <c r="K94" s="1236"/>
      <c r="L94" s="1236"/>
      <c r="M94" s="1129"/>
      <c r="N94" s="1086"/>
      <c r="O94" s="1132"/>
      <c r="P94" s="1232"/>
      <c r="Q94" s="1089"/>
      <c r="R94" s="1090"/>
      <c r="S94" s="1111"/>
      <c r="U94" s="1058"/>
      <c r="V94" s="1057"/>
      <c r="W94" s="1057"/>
      <c r="X94" s="1058"/>
    </row>
    <row r="95" spans="1:24" s="1118" customFormat="1" ht="12">
      <c r="A95" s="1137" t="s">
        <v>479</v>
      </c>
      <c r="B95" s="1138"/>
      <c r="C95" s="1113">
        <v>5512</v>
      </c>
      <c r="D95" s="1114"/>
      <c r="E95" s="1211" t="s">
        <v>482</v>
      </c>
      <c r="F95" s="1080">
        <f>'[2]Summary'!E94/15.6466</f>
        <v>0</v>
      </c>
      <c r="G95" s="1080">
        <f>'[2]Summary'!F94/15.6466</f>
        <v>0</v>
      </c>
      <c r="H95" s="1081">
        <f>'[2]Summary'!G94/15.6466</f>
        <v>0</v>
      </c>
      <c r="I95" s="1081">
        <f>'[2]Summary'!H94/15.6466</f>
        <v>0</v>
      </c>
      <c r="J95" s="1082">
        <f>'[2]Summary'!I94/15.6466</f>
        <v>0</v>
      </c>
      <c r="K95" s="1217"/>
      <c r="L95" s="1218">
        <f>J95+K95</f>
        <v>0</v>
      </c>
      <c r="M95" s="1219"/>
      <c r="N95" s="1220">
        <f>L95+M95</f>
        <v>0</v>
      </c>
      <c r="O95" s="1221"/>
      <c r="P95" s="1222">
        <f>N95+O95</f>
        <v>0</v>
      </c>
      <c r="Q95" s="1089"/>
      <c r="R95" s="1090"/>
      <c r="S95" s="1117"/>
      <c r="U95" s="1058"/>
      <c r="V95" s="1057"/>
      <c r="W95" s="1057"/>
      <c r="X95" s="1058"/>
    </row>
    <row r="96" spans="1:24" s="1101" customFormat="1" ht="12">
      <c r="A96" s="1146" t="s">
        <v>483</v>
      </c>
      <c r="B96" s="1147"/>
      <c r="C96" s="1093"/>
      <c r="D96" s="1136"/>
      <c r="E96" s="1152" t="s">
        <v>484</v>
      </c>
      <c r="F96" s="1080">
        <f>'[2]Summary'!E95/15.6466</f>
        <v>690245.8042002736</v>
      </c>
      <c r="G96" s="1080">
        <f>'[2]Summary'!F95/15.6466</f>
        <v>756598.8777114517</v>
      </c>
      <c r="H96" s="1081">
        <f>'[2]Summary'!G95/15.6466</f>
        <v>534684.8516610637</v>
      </c>
      <c r="I96" s="1081">
        <f>'[2]Summary'!H95/15.6466</f>
        <v>534684.8516610637</v>
      </c>
      <c r="J96" s="1082">
        <f>'[2]Summary'!I95/15.6466</f>
        <v>530763.2329068296</v>
      </c>
      <c r="K96" s="1083">
        <f>K98+K99+K100+K101+K103+K97+K105</f>
        <v>0</v>
      </c>
      <c r="L96" s="1107">
        <f>L98+L99+L100+L101+L103+L97+L105</f>
        <v>530763.2329068296</v>
      </c>
      <c r="M96" s="1108">
        <f>SUM(M97:M105)</f>
        <v>21907</v>
      </c>
      <c r="N96" s="1108">
        <f>SUM(N97:N105)</f>
        <v>552670.2329068296</v>
      </c>
      <c r="O96" s="1158">
        <f>O98+O99+O100+O101+O103</f>
        <v>0</v>
      </c>
      <c r="P96" s="1237">
        <f>P98+P99+P100+P101+P103</f>
        <v>529890.2329068296</v>
      </c>
      <c r="Q96" s="1089">
        <f t="shared" si="18"/>
        <v>-155560.95253920986</v>
      </c>
      <c r="R96" s="1090">
        <f>N96/I96%</f>
        <v>103.36373495338273</v>
      </c>
      <c r="S96" s="1100"/>
      <c r="U96" s="1058"/>
      <c r="V96" s="1057"/>
      <c r="W96" s="1057"/>
      <c r="X96" s="1058"/>
    </row>
    <row r="97" spans="1:24" s="1101" customFormat="1" ht="12">
      <c r="A97" s="1137" t="s">
        <v>485</v>
      </c>
      <c r="B97" s="1138"/>
      <c r="C97" s="1093">
        <v>1551</v>
      </c>
      <c r="D97" s="1136"/>
      <c r="E97" s="1079" t="s">
        <v>465</v>
      </c>
      <c r="F97" s="1080">
        <f>'[2]Summary'!E96/15.6466</f>
        <v>0</v>
      </c>
      <c r="G97" s="1080">
        <f>'[2]Summary'!F96/15.6466</f>
        <v>11504.096736671227</v>
      </c>
      <c r="H97" s="1081">
        <f>'[2]Summary'!G96/15.6466</f>
        <v>0</v>
      </c>
      <c r="I97" s="1081">
        <f>'[2]Summary'!H96/15.6466</f>
        <v>23775.1332557872</v>
      </c>
      <c r="J97" s="1082">
        <f>'[2]Summary'!I96/15.6466</f>
        <v>0</v>
      </c>
      <c r="K97" s="1083"/>
      <c r="L97" s="1218">
        <f>J97+K97</f>
        <v>0</v>
      </c>
      <c r="M97" s="1129">
        <f>873+21907</f>
        <v>22780</v>
      </c>
      <c r="N97" s="1220">
        <f aca="true" t="shared" si="21" ref="N97:N105">L97+M97</f>
        <v>22780</v>
      </c>
      <c r="O97" s="1158"/>
      <c r="P97" s="1237"/>
      <c r="Q97" s="1089">
        <f t="shared" si="18"/>
        <v>23775.1332557872</v>
      </c>
      <c r="R97" s="1090"/>
      <c r="S97" s="1100"/>
      <c r="U97" s="1058"/>
      <c r="V97" s="1057"/>
      <c r="W97" s="1057"/>
      <c r="X97" s="1058"/>
    </row>
    <row r="98" spans="1:24" s="1224" customFormat="1" ht="12">
      <c r="A98" s="1137" t="s">
        <v>485</v>
      </c>
      <c r="B98" s="1138"/>
      <c r="C98" s="1139">
        <v>5512</v>
      </c>
      <c r="D98" s="1216"/>
      <c r="E98" s="1211" t="s">
        <v>486</v>
      </c>
      <c r="F98" s="1080">
        <f>'[2]Summary'!E97/15.6466</f>
        <v>83724.2595835517</v>
      </c>
      <c r="G98" s="1080">
        <f>'[2]Summary'!F97/15.6466</f>
        <v>81544.87236843788</v>
      </c>
      <c r="H98" s="1081">
        <f>'[2]Summary'!G97/15.6466</f>
        <v>42501.24627714648</v>
      </c>
      <c r="I98" s="1081">
        <f>'[2]Summary'!H97/15.6466</f>
        <v>18726.113021359273</v>
      </c>
      <c r="J98" s="1082">
        <f>'[2]Summary'!I97/15.6466</f>
        <v>46312.936995896875</v>
      </c>
      <c r="K98" s="1217"/>
      <c r="L98" s="1218">
        <f>J98+K98</f>
        <v>46312.936995896875</v>
      </c>
      <c r="M98" s="1219">
        <v>-873</v>
      </c>
      <c r="N98" s="1220">
        <f t="shared" si="21"/>
        <v>45439.936995896875</v>
      </c>
      <c r="O98" s="1221"/>
      <c r="P98" s="1222">
        <f aca="true" t="shared" si="22" ref="P98:P103">N98+O98</f>
        <v>45439.936995896875</v>
      </c>
      <c r="Q98" s="1089">
        <f t="shared" si="18"/>
        <v>-64998.14656219243</v>
      </c>
      <c r="R98" s="1090">
        <f>N98/I98%</f>
        <v>242.65546696245735</v>
      </c>
      <c r="S98" s="1223"/>
      <c r="U98" s="1058"/>
      <c r="V98" s="1057"/>
      <c r="W98" s="1057"/>
      <c r="X98" s="1058"/>
    </row>
    <row r="99" spans="1:24" s="1224" customFormat="1" ht="12">
      <c r="A99" s="1137" t="s">
        <v>487</v>
      </c>
      <c r="B99" s="1138"/>
      <c r="C99" s="1139"/>
      <c r="D99" s="1216"/>
      <c r="E99" s="1211" t="s">
        <v>488</v>
      </c>
      <c r="F99" s="1080">
        <f>'[2]Summary'!E98/15.6466</f>
        <v>242864.264440837</v>
      </c>
      <c r="G99" s="1080">
        <f>'[2]Summary'!F98/15.6466</f>
        <v>210480.2321271075</v>
      </c>
      <c r="H99" s="1081">
        <f>'[2]Summary'!G98/15.6466</f>
        <v>165914.6396022139</v>
      </c>
      <c r="I99" s="1081">
        <f>'[2]Summary'!H98/15.6466</f>
        <v>165914.6396022139</v>
      </c>
      <c r="J99" s="1082">
        <f>'[2]Summary'!I98/15.6466</f>
        <v>154027.0729743203</v>
      </c>
      <c r="K99" s="1217"/>
      <c r="L99" s="1218">
        <f>J99+K99</f>
        <v>154027.0729743203</v>
      </c>
      <c r="M99" s="1219"/>
      <c r="N99" s="1220">
        <f t="shared" si="21"/>
        <v>154027.0729743203</v>
      </c>
      <c r="O99" s="1221"/>
      <c r="P99" s="1222">
        <f t="shared" si="22"/>
        <v>154027.0729743203</v>
      </c>
      <c r="Q99" s="1089">
        <f t="shared" si="18"/>
        <v>-76949.6248386231</v>
      </c>
      <c r="R99" s="1090">
        <f>N99/I99%</f>
        <v>92.8351309707242</v>
      </c>
      <c r="S99" s="1223"/>
      <c r="U99" s="1058"/>
      <c r="V99" s="1057"/>
      <c r="W99" s="1057"/>
      <c r="X99" s="1058"/>
    </row>
    <row r="100" spans="1:24" s="1224" customFormat="1" ht="12" hidden="1">
      <c r="A100" s="1137" t="s">
        <v>489</v>
      </c>
      <c r="B100" s="1138"/>
      <c r="C100" s="1139"/>
      <c r="D100" s="1216"/>
      <c r="E100" s="1211" t="s">
        <v>490</v>
      </c>
      <c r="F100" s="1080">
        <f>'[2]Summary'!E99/15.6466</f>
        <v>0</v>
      </c>
      <c r="G100" s="1080">
        <f>'[2]Summary'!F99/15.6466</f>
        <v>0</v>
      </c>
      <c r="H100" s="1081">
        <f>'[2]Summary'!G99/15.6466</f>
        <v>0</v>
      </c>
      <c r="I100" s="1081">
        <f>'[2]Summary'!H99/15.6466</f>
        <v>0</v>
      </c>
      <c r="J100" s="1082">
        <f>'[2]Summary'!I99/15.6466</f>
        <v>0</v>
      </c>
      <c r="K100" s="1217"/>
      <c r="L100" s="1218">
        <f>J100+K100</f>
        <v>0</v>
      </c>
      <c r="M100" s="1219"/>
      <c r="N100" s="1220">
        <f t="shared" si="21"/>
        <v>0</v>
      </c>
      <c r="O100" s="1221"/>
      <c r="P100" s="1222">
        <f t="shared" si="22"/>
        <v>0</v>
      </c>
      <c r="Q100" s="1089">
        <f t="shared" si="18"/>
        <v>0</v>
      </c>
      <c r="R100" s="1090" t="e">
        <f>N100/I100%</f>
        <v>#DIV/0!</v>
      </c>
      <c r="S100" s="1223"/>
      <c r="U100" s="1058"/>
      <c r="V100" s="1057"/>
      <c r="W100" s="1057"/>
      <c r="X100" s="1058"/>
    </row>
    <row r="101" spans="1:24" s="1224" customFormat="1" ht="12">
      <c r="A101" s="1137" t="s">
        <v>491</v>
      </c>
      <c r="B101" s="1138"/>
      <c r="C101" s="1139">
        <v>5512</v>
      </c>
      <c r="D101" s="1216"/>
      <c r="E101" s="1211" t="s">
        <v>492</v>
      </c>
      <c r="F101" s="1080">
        <f>'[2]Summary'!E100/15.6466</f>
        <v>363657.2801758849</v>
      </c>
      <c r="G101" s="1080">
        <f>'[2]Summary'!F100/15.6466</f>
        <v>433576.6236754311</v>
      </c>
      <c r="H101" s="1081">
        <f>'[2]Summary'!G100/15.6466</f>
        <v>326268.96578170336</v>
      </c>
      <c r="I101" s="1081">
        <f>'[2]Summary'!H100/15.6466</f>
        <v>324599.5935219153</v>
      </c>
      <c r="J101" s="1082">
        <f>'[2]Summary'!I100/15.6466</f>
        <v>330423.22293661244</v>
      </c>
      <c r="K101" s="1217"/>
      <c r="L101" s="1218">
        <f>J101+K101</f>
        <v>330423.22293661244</v>
      </c>
      <c r="M101" s="1219"/>
      <c r="N101" s="1220">
        <f t="shared" si="21"/>
        <v>330423.22293661244</v>
      </c>
      <c r="O101" s="1221"/>
      <c r="P101" s="1222">
        <f t="shared" si="22"/>
        <v>330423.22293661244</v>
      </c>
      <c r="Q101" s="1089">
        <f t="shared" si="18"/>
        <v>-39057.68665396958</v>
      </c>
      <c r="R101" s="1090">
        <f>N101/I101%</f>
        <v>101.79409633620011</v>
      </c>
      <c r="S101" s="1223"/>
      <c r="U101" s="1058"/>
      <c r="V101" s="1057"/>
      <c r="W101" s="1057"/>
      <c r="X101" s="1058"/>
    </row>
    <row r="102" spans="1:24" s="1245" customFormat="1" ht="12" hidden="1">
      <c r="A102" s="1238"/>
      <c r="B102" s="1239"/>
      <c r="C102" s="1240"/>
      <c r="D102" s="1241"/>
      <c r="E102" s="1211" t="s">
        <v>493</v>
      </c>
      <c r="F102" s="1080">
        <f>'[2]Summary'!E101/15.6466</f>
        <v>0</v>
      </c>
      <c r="G102" s="1080">
        <f>'[2]Summary'!F101/15.6466</f>
        <v>0</v>
      </c>
      <c r="H102" s="1081">
        <f>'[2]Summary'!G101/15.6466</f>
        <v>0</v>
      </c>
      <c r="I102" s="1081">
        <f>'[2]Summary'!H101/15.6466</f>
        <v>0</v>
      </c>
      <c r="J102" s="1082">
        <f>'[2]Summary'!I101/15.6466</f>
        <v>0</v>
      </c>
      <c r="K102" s="1217"/>
      <c r="L102" s="1218"/>
      <c r="M102" s="1097"/>
      <c r="N102" s="1098">
        <f t="shared" si="21"/>
        <v>0</v>
      </c>
      <c r="O102" s="1242"/>
      <c r="P102" s="1243">
        <f t="shared" si="22"/>
        <v>0</v>
      </c>
      <c r="Q102" s="1089"/>
      <c r="R102" s="1090"/>
      <c r="S102" s="1244"/>
      <c r="U102" s="1058"/>
      <c r="V102" s="1057"/>
      <c r="W102" s="1057"/>
      <c r="X102" s="1058"/>
    </row>
    <row r="103" spans="1:24" s="1245" customFormat="1" ht="12" hidden="1">
      <c r="A103" s="1238" t="s">
        <v>494</v>
      </c>
      <c r="B103" s="1239"/>
      <c r="C103" s="1240"/>
      <c r="D103" s="1241"/>
      <c r="E103" s="1211" t="s">
        <v>495</v>
      </c>
      <c r="F103" s="1080">
        <f>'[2]Summary'!E102/15.6466</f>
        <v>0</v>
      </c>
      <c r="G103" s="1080">
        <f>'[2]Summary'!F102/15.6466</f>
        <v>0</v>
      </c>
      <c r="H103" s="1081">
        <f>'[2]Summary'!G102/15.6466</f>
        <v>0</v>
      </c>
      <c r="I103" s="1081">
        <f>'[2]Summary'!H102/15.6466</f>
        <v>0</v>
      </c>
      <c r="J103" s="1082">
        <f>'[2]Summary'!I102/15.6466</f>
        <v>0</v>
      </c>
      <c r="K103" s="1217"/>
      <c r="L103" s="1218">
        <f>J103+K103</f>
        <v>0</v>
      </c>
      <c r="M103" s="1097"/>
      <c r="N103" s="1098">
        <f t="shared" si="21"/>
        <v>0</v>
      </c>
      <c r="O103" s="1242"/>
      <c r="P103" s="1246">
        <f t="shared" si="22"/>
        <v>0</v>
      </c>
      <c r="Q103" s="1089">
        <f t="shared" si="18"/>
        <v>0</v>
      </c>
      <c r="R103" s="1090" t="e">
        <f>N103/I103%</f>
        <v>#DIV/0!</v>
      </c>
      <c r="S103" s="1244"/>
      <c r="U103" s="1058"/>
      <c r="V103" s="1057"/>
      <c r="W103" s="1057"/>
      <c r="X103" s="1058"/>
    </row>
    <row r="104" spans="1:24" s="1245" customFormat="1" ht="12" hidden="1">
      <c r="A104" s="1238" t="s">
        <v>496</v>
      </c>
      <c r="B104" s="1239"/>
      <c r="C104" s="1240"/>
      <c r="D104" s="1241"/>
      <c r="E104" s="1211" t="s">
        <v>497</v>
      </c>
      <c r="F104" s="1080">
        <f>'[2]Summary'!E103/15.6466</f>
        <v>0</v>
      </c>
      <c r="G104" s="1080">
        <f>'[2]Summary'!F103/15.6466</f>
        <v>0</v>
      </c>
      <c r="H104" s="1081">
        <f>'[2]Summary'!G103/15.6466</f>
        <v>0</v>
      </c>
      <c r="I104" s="1081">
        <f>'[2]Summary'!H103/15.6466</f>
        <v>0</v>
      </c>
      <c r="J104" s="1082">
        <f>'[2]Summary'!I103/15.6466</f>
        <v>0</v>
      </c>
      <c r="K104" s="1217"/>
      <c r="L104" s="1084">
        <f>J104+K104</f>
        <v>0</v>
      </c>
      <c r="M104" s="1097"/>
      <c r="N104" s="1098">
        <f t="shared" si="21"/>
        <v>0</v>
      </c>
      <c r="O104" s="1242"/>
      <c r="P104" s="1247"/>
      <c r="Q104" s="1089">
        <f t="shared" si="18"/>
        <v>0</v>
      </c>
      <c r="R104" s="1090" t="e">
        <f>N104/I104%</f>
        <v>#DIV/0!</v>
      </c>
      <c r="S104" s="1244"/>
      <c r="U104" s="1058"/>
      <c r="V104" s="1057"/>
      <c r="W104" s="1057"/>
      <c r="X104" s="1058"/>
    </row>
    <row r="105" spans="1:24" s="1245" customFormat="1" ht="12">
      <c r="A105" s="1238"/>
      <c r="B105" s="1239"/>
      <c r="C105" s="1248">
        <v>1551</v>
      </c>
      <c r="D105" s="1241"/>
      <c r="E105" s="1079" t="s">
        <v>465</v>
      </c>
      <c r="F105" s="1080">
        <f>'[2]Summary'!E104/15.6466</f>
        <v>0</v>
      </c>
      <c r="G105" s="1080">
        <f>'[2]Summary'!F104/15.6466</f>
        <v>19493.05280380402</v>
      </c>
      <c r="H105" s="1081">
        <f>'[2]Summary'!G104/15.6466</f>
        <v>0</v>
      </c>
      <c r="I105" s="1081">
        <f>'[2]Summary'!H104/15.6466</f>
        <v>1669.372259788069</v>
      </c>
      <c r="J105" s="1082">
        <f>'[2]Summary'!I104/15.6466</f>
        <v>0</v>
      </c>
      <c r="K105" s="1217"/>
      <c r="L105" s="1218">
        <f>J105+K105</f>
        <v>0</v>
      </c>
      <c r="M105" s="1219"/>
      <c r="N105" s="1098">
        <f t="shared" si="21"/>
        <v>0</v>
      </c>
      <c r="O105" s="1099"/>
      <c r="P105" s="1247"/>
      <c r="Q105" s="1089">
        <f t="shared" si="18"/>
        <v>1669.372259788069</v>
      </c>
      <c r="R105" s="1090"/>
      <c r="S105" s="1244"/>
      <c r="U105" s="1058"/>
      <c r="V105" s="1057"/>
      <c r="W105" s="1057"/>
      <c r="X105" s="1058"/>
    </row>
    <row r="106" spans="1:24" s="1101" customFormat="1" ht="11.25">
      <c r="A106" s="1146" t="s">
        <v>498</v>
      </c>
      <c r="B106" s="1147"/>
      <c r="C106" s="1093"/>
      <c r="D106" s="1094"/>
      <c r="E106" s="1120" t="s">
        <v>499</v>
      </c>
      <c r="F106" s="1080">
        <f>'[2]Summary'!E105/15.6466</f>
        <v>338731.73724643054</v>
      </c>
      <c r="G106" s="1080">
        <f>'[2]Summary'!F105/15.6466</f>
        <v>299837.6644127159</v>
      </c>
      <c r="H106" s="1081">
        <f>'[2]Summary'!G105/15.6466</f>
        <v>212506.23138573236</v>
      </c>
      <c r="I106" s="1081">
        <f>'[2]Summary'!H105/15.6466</f>
        <v>270665.8315544591</v>
      </c>
      <c r="J106" s="1154">
        <f>SUM(J107:J113)-1</f>
        <v>230659.59079927907</v>
      </c>
      <c r="K106" s="1155">
        <f aca="true" t="shared" si="23" ref="K106:P106">SUM(K107:K113)</f>
        <v>0</v>
      </c>
      <c r="L106" s="1107">
        <f t="shared" si="23"/>
        <v>230660.59079927907</v>
      </c>
      <c r="M106" s="1108">
        <f t="shared" si="23"/>
        <v>1382546</v>
      </c>
      <c r="N106" s="1156">
        <f t="shared" si="23"/>
        <v>1613206.5907992793</v>
      </c>
      <c r="O106" s="1108">
        <f t="shared" si="23"/>
        <v>0</v>
      </c>
      <c r="P106" s="1157">
        <f t="shared" si="23"/>
        <v>226287.09623816036</v>
      </c>
      <c r="Q106" s="1089">
        <f t="shared" si="18"/>
        <v>-68065.90569197142</v>
      </c>
      <c r="R106" s="1090">
        <f>N106/I106%</f>
        <v>596.0141261770957</v>
      </c>
      <c r="S106" s="1100"/>
      <c r="U106" s="1058"/>
      <c r="V106" s="1057"/>
      <c r="W106" s="1057"/>
      <c r="X106" s="1058"/>
    </row>
    <row r="107" spans="1:24" s="1224" customFormat="1" ht="12">
      <c r="A107" s="1137" t="s">
        <v>500</v>
      </c>
      <c r="B107" s="1138"/>
      <c r="C107" s="1139">
        <v>5511</v>
      </c>
      <c r="D107" s="1216"/>
      <c r="E107" s="1211" t="s">
        <v>501</v>
      </c>
      <c r="F107" s="1080">
        <f>'[2]Summary'!E106/15.6466</f>
        <v>0</v>
      </c>
      <c r="G107" s="1080">
        <f>'[2]Summary'!F106/15.6466</f>
        <v>1469.9679163524345</v>
      </c>
      <c r="H107" s="1081">
        <f>'[2]Summary'!G106/15.6466</f>
        <v>1597.7912134265591</v>
      </c>
      <c r="I107" s="1081">
        <f>'[2]Summary'!H106/15.6466</f>
        <v>1597.7912134265591</v>
      </c>
      <c r="J107" s="1082">
        <f>'[2]Summary'!I106/15.6466</f>
        <v>1597.7912134265591</v>
      </c>
      <c r="K107" s="1217"/>
      <c r="L107" s="1084">
        <f aca="true" t="shared" si="24" ref="L107:L113">J107+K107</f>
        <v>1597.7912134265591</v>
      </c>
      <c r="M107" s="1219"/>
      <c r="N107" s="1220">
        <f aca="true" t="shared" si="25" ref="N107:N112">L107+M107</f>
        <v>1597.7912134265591</v>
      </c>
      <c r="O107" s="1221"/>
      <c r="P107" s="1222">
        <f>N107+O107</f>
        <v>1597.7912134265591</v>
      </c>
      <c r="Q107" s="1089">
        <f t="shared" si="18"/>
        <v>1597.7912134265591</v>
      </c>
      <c r="R107" s="1090"/>
      <c r="S107" s="1223"/>
      <c r="U107" s="1058"/>
      <c r="V107" s="1057"/>
      <c r="W107" s="1057"/>
      <c r="X107" s="1058"/>
    </row>
    <row r="108" spans="1:24" s="1224" customFormat="1" ht="12">
      <c r="A108" s="1137" t="s">
        <v>502</v>
      </c>
      <c r="B108" s="1138"/>
      <c r="C108" s="1249">
        <v>1551</v>
      </c>
      <c r="D108" s="1216"/>
      <c r="E108" s="1211" t="s">
        <v>503</v>
      </c>
      <c r="F108" s="1080">
        <f>'[2]Summary'!E107/15.6466</f>
        <v>0</v>
      </c>
      <c r="G108" s="1080">
        <f>'[2]Summary'!F107/15.6466</f>
        <v>0</v>
      </c>
      <c r="H108" s="1081">
        <f>'[2]Summary'!G107/15.6466</f>
        <v>0</v>
      </c>
      <c r="I108" s="1081">
        <f>'[2]Summary'!H107/15.6466</f>
        <v>0</v>
      </c>
      <c r="J108" s="1082">
        <f>'[2]Summary'!I107/15.6466</f>
        <v>0</v>
      </c>
      <c r="K108" s="1217"/>
      <c r="L108" s="1084">
        <f t="shared" si="24"/>
        <v>0</v>
      </c>
      <c r="M108" s="1219">
        <v>4998</v>
      </c>
      <c r="N108" s="1220">
        <f t="shared" si="25"/>
        <v>4998</v>
      </c>
      <c r="O108" s="1221"/>
      <c r="P108" s="1222"/>
      <c r="Q108" s="1089">
        <f t="shared" si="18"/>
        <v>0</v>
      </c>
      <c r="R108" s="1090"/>
      <c r="S108" s="1223"/>
      <c r="U108" s="1058"/>
      <c r="V108" s="1057"/>
      <c r="W108" s="1057"/>
      <c r="X108" s="1058"/>
    </row>
    <row r="109" spans="1:24" s="1224" customFormat="1" ht="12">
      <c r="A109" s="1137" t="s">
        <v>502</v>
      </c>
      <c r="B109" s="1138"/>
      <c r="C109" s="1139">
        <v>5512</v>
      </c>
      <c r="D109" s="1216"/>
      <c r="E109" s="1211" t="s">
        <v>504</v>
      </c>
      <c r="F109" s="1080">
        <f>'[2]Summary'!E108/15.6466</f>
        <v>127823.29707412474</v>
      </c>
      <c r="G109" s="1080">
        <f>'[2]Summary'!F108/15.6466</f>
        <v>83168.22824127926</v>
      </c>
      <c r="H109" s="1081">
        <f>'[2]Summary'!G108/15.6466</f>
        <v>0</v>
      </c>
      <c r="I109" s="1081">
        <f>'[2]Summary'!H108/15.6466</f>
        <v>9586.747280559355</v>
      </c>
      <c r="J109" s="1082">
        <f>'[2]Summary'!I108/15.6466</f>
        <v>639.1164853706236</v>
      </c>
      <c r="K109" s="1217"/>
      <c r="L109" s="1084">
        <f t="shared" si="24"/>
        <v>639.1164853706236</v>
      </c>
      <c r="M109" s="1219">
        <v>10800</v>
      </c>
      <c r="N109" s="1220">
        <f t="shared" si="25"/>
        <v>11439.116485370623</v>
      </c>
      <c r="O109" s="1221"/>
      <c r="P109" s="1222">
        <f>N109+O109</f>
        <v>11439.116485370623</v>
      </c>
      <c r="Q109" s="1089">
        <f t="shared" si="18"/>
        <v>-118236.54979356538</v>
      </c>
      <c r="R109" s="1090">
        <f>N109/I109%</f>
        <v>119.32218666666665</v>
      </c>
      <c r="S109" s="1223"/>
      <c r="U109" s="1058"/>
      <c r="V109" s="1057"/>
      <c r="W109" s="1057"/>
      <c r="X109" s="1058"/>
    </row>
    <row r="110" spans="1:24" s="1224" customFormat="1" ht="12">
      <c r="A110" s="1137" t="s">
        <v>502</v>
      </c>
      <c r="B110" s="1138"/>
      <c r="C110" s="1248">
        <v>1551</v>
      </c>
      <c r="D110" s="1216"/>
      <c r="E110" s="1250" t="s">
        <v>505</v>
      </c>
      <c r="F110" s="1080"/>
      <c r="G110" s="1080"/>
      <c r="H110" s="1081"/>
      <c r="I110" s="1081"/>
      <c r="J110" s="1082"/>
      <c r="K110" s="1217"/>
      <c r="L110" s="1084"/>
      <c r="M110" s="1219">
        <v>1334748</v>
      </c>
      <c r="N110" s="1220">
        <f t="shared" si="25"/>
        <v>1334748</v>
      </c>
      <c r="O110" s="1221"/>
      <c r="P110" s="1222"/>
      <c r="Q110" s="1089"/>
      <c r="R110" s="1090"/>
      <c r="S110" s="1223"/>
      <c r="U110" s="1058"/>
      <c r="V110" s="1057"/>
      <c r="W110" s="1057"/>
      <c r="X110" s="1058"/>
    </row>
    <row r="111" spans="1:24" s="1224" customFormat="1" ht="12">
      <c r="A111" s="1137" t="s">
        <v>506</v>
      </c>
      <c r="B111" s="1138"/>
      <c r="C111" s="1249">
        <v>5512</v>
      </c>
      <c r="D111" s="1216"/>
      <c r="E111" s="1211" t="s">
        <v>507</v>
      </c>
      <c r="F111" s="1080">
        <f>'[2]Summary'!E109/15.6466</f>
        <v>210908.44017230583</v>
      </c>
      <c r="G111" s="1080">
        <f>'[2]Summary'!F109/15.6466</f>
        <v>215199.46825508418</v>
      </c>
      <c r="H111" s="1081">
        <f>'[2]Summary'!G109/15.6466</f>
        <v>210908.44017230583</v>
      </c>
      <c r="I111" s="1081">
        <f>'[2]Summary'!H109/15.6466</f>
        <v>179591.73238914524</v>
      </c>
      <c r="J111" s="1082">
        <f>'[2]Summary'!I109/15.6466</f>
        <v>209250.18853936318</v>
      </c>
      <c r="K111" s="1217"/>
      <c r="L111" s="1084">
        <f t="shared" si="24"/>
        <v>209250.18853936318</v>
      </c>
      <c r="M111" s="1219">
        <v>4000</v>
      </c>
      <c r="N111" s="1220">
        <f t="shared" si="25"/>
        <v>213250.18853936318</v>
      </c>
      <c r="O111" s="1221"/>
      <c r="P111" s="1222">
        <f>N111+O111</f>
        <v>213250.18853936318</v>
      </c>
      <c r="Q111" s="1089">
        <f t="shared" si="18"/>
        <v>-31316.707783160586</v>
      </c>
      <c r="R111" s="1090">
        <f>N111/I111%</f>
        <v>118.7416512455516</v>
      </c>
      <c r="S111" s="1223"/>
      <c r="U111" s="1058"/>
      <c r="V111" s="1057"/>
      <c r="W111" s="1057"/>
      <c r="X111" s="1058"/>
    </row>
    <row r="112" spans="1:24" s="1224" customFormat="1" ht="12">
      <c r="A112" s="1137" t="s">
        <v>506</v>
      </c>
      <c r="B112" s="1138"/>
      <c r="C112" s="1249">
        <v>1551</v>
      </c>
      <c r="D112" s="1216"/>
      <c r="E112" s="1211" t="s">
        <v>508</v>
      </c>
      <c r="F112" s="1080">
        <f>'[2]Summary'!E110/15.6466</f>
        <v>0</v>
      </c>
      <c r="G112" s="1080">
        <f>'[2]Summary'!F110/15.6466</f>
        <v>0</v>
      </c>
      <c r="H112" s="1081">
        <f>'[2]Summary'!G110/15.6466</f>
        <v>0</v>
      </c>
      <c r="I112" s="1081">
        <f>'[2]Summary'!H110/15.6466</f>
        <v>79889.56067132796</v>
      </c>
      <c r="J112" s="1082">
        <f>'[2]Summary'!I110/15.6466</f>
        <v>19173.49456111871</v>
      </c>
      <c r="K112" s="1217"/>
      <c r="L112" s="1084">
        <f t="shared" si="24"/>
        <v>19173.49456111871</v>
      </c>
      <c r="M112" s="1219">
        <v>28000</v>
      </c>
      <c r="N112" s="1084">
        <f t="shared" si="25"/>
        <v>47173.494561118714</v>
      </c>
      <c r="O112" s="1221"/>
      <c r="P112" s="1222"/>
      <c r="Q112" s="1089"/>
      <c r="R112" s="1090"/>
      <c r="S112" s="1223"/>
      <c r="U112" s="1058"/>
      <c r="V112" s="1057"/>
      <c r="W112" s="1057"/>
      <c r="X112" s="1058"/>
    </row>
    <row r="113" spans="1:24" s="1245" customFormat="1" ht="12">
      <c r="A113" s="1238" t="s">
        <v>509</v>
      </c>
      <c r="B113" s="1239"/>
      <c r="C113" s="1240"/>
      <c r="D113" s="1241"/>
      <c r="E113" s="1211" t="s">
        <v>510</v>
      </c>
      <c r="F113" s="1080">
        <f>'[2]Summary'!E111/15.6466</f>
        <v>0</v>
      </c>
      <c r="G113" s="1080">
        <f>'[2]Summary'!F111/15.6466</f>
        <v>0</v>
      </c>
      <c r="H113" s="1081">
        <f>'[2]Summary'!G111/15.6466</f>
        <v>0</v>
      </c>
      <c r="I113" s="1081">
        <f>'[2]Summary'!H111/15.6466</f>
        <v>0</v>
      </c>
      <c r="J113" s="1082">
        <f>'[2]Summary'!I111/15.6466</f>
        <v>0</v>
      </c>
      <c r="K113" s="1096"/>
      <c r="L113" s="1084">
        <f t="shared" si="24"/>
        <v>0</v>
      </c>
      <c r="M113" s="1097"/>
      <c r="N113" s="1098"/>
      <c r="O113" s="1242"/>
      <c r="P113" s="1243"/>
      <c r="Q113" s="1089">
        <f t="shared" si="18"/>
        <v>0</v>
      </c>
      <c r="R113" s="1090"/>
      <c r="S113" s="1244"/>
      <c r="U113" s="1058"/>
      <c r="V113" s="1057"/>
      <c r="W113" s="1057"/>
      <c r="X113" s="1058"/>
    </row>
    <row r="114" spans="1:24" s="1245" customFormat="1" ht="12">
      <c r="A114" s="1238" t="s">
        <v>498</v>
      </c>
      <c r="B114" s="1239"/>
      <c r="C114" s="1240"/>
      <c r="D114" s="1251"/>
      <c r="E114" s="1120" t="s">
        <v>511</v>
      </c>
      <c r="F114" s="1080">
        <f>'[2]Summary'!E112/15.6466</f>
        <v>156000.1053263968</v>
      </c>
      <c r="G114" s="1080">
        <f>'[2]Summary'!F112/15.6466</f>
        <v>189841.30737668247</v>
      </c>
      <c r="H114" s="1081">
        <f>'[2]Summary'!G112/15.6466</f>
        <v>150850.37899607583</v>
      </c>
      <c r="I114" s="1081">
        <f>'[2]Summary'!H112/15.6466</f>
        <v>76993.95747318908</v>
      </c>
      <c r="J114" s="1082">
        <f>'[2]Summary'!I112/15.6466+1</f>
        <v>65235.23619188833</v>
      </c>
      <c r="K114" s="1252">
        <f>SUM(K115:K123)</f>
        <v>0</v>
      </c>
      <c r="L114" s="1112">
        <f>SUM(L115:L123)</f>
        <v>65234.23619188833</v>
      </c>
      <c r="M114" s="1098">
        <f>SUM(M115:M123)</f>
        <v>45307</v>
      </c>
      <c r="N114" s="1098">
        <f>SUM(N115:N123)</f>
        <v>110541.23619188834</v>
      </c>
      <c r="O114" s="1097">
        <f>SUM(O115:O121)</f>
        <v>0</v>
      </c>
      <c r="P114" s="1099">
        <f>SUM(P115:P121)</f>
        <v>36621.65941482494</v>
      </c>
      <c r="Q114" s="1089">
        <f t="shared" si="18"/>
        <v>-79006.14785320772</v>
      </c>
      <c r="R114" s="1090">
        <f>N114/I114%</f>
        <v>143.5713136714412</v>
      </c>
      <c r="S114" s="1244"/>
      <c r="U114" s="1058"/>
      <c r="V114" s="1057"/>
      <c r="W114" s="1057"/>
      <c r="X114" s="1058"/>
    </row>
    <row r="115" spans="1:24" s="1244" customFormat="1" ht="12" hidden="1">
      <c r="A115" s="1137" t="s">
        <v>512</v>
      </c>
      <c r="B115" s="1138"/>
      <c r="C115" s="1240"/>
      <c r="D115" s="1241"/>
      <c r="E115" s="1211" t="s">
        <v>513</v>
      </c>
      <c r="F115" s="1080">
        <f>'[2]Summary'!E113/15.6466</f>
        <v>0</v>
      </c>
      <c r="G115" s="1080">
        <f>'[2]Summary'!F113/15.6466</f>
        <v>0</v>
      </c>
      <c r="H115" s="1081">
        <f>'[2]Summary'!G113/15.6466</f>
        <v>0</v>
      </c>
      <c r="I115" s="1081">
        <f>'[2]Summary'!H113/15.6466</f>
        <v>0</v>
      </c>
      <c r="J115" s="1082">
        <f>'[2]Summary'!I113/15.6466</f>
        <v>0</v>
      </c>
      <c r="K115" s="1096"/>
      <c r="L115" s="1084">
        <f aca="true" t="shared" si="26" ref="L115:L123">J115+K115</f>
        <v>0</v>
      </c>
      <c r="M115" s="1097"/>
      <c r="N115" s="1098"/>
      <c r="O115" s="1242"/>
      <c r="P115" s="1243"/>
      <c r="Q115" s="1089">
        <f t="shared" si="18"/>
        <v>0</v>
      </c>
      <c r="R115" s="1090" t="e">
        <f>N115/I115%</f>
        <v>#DIV/0!</v>
      </c>
      <c r="U115" s="1058"/>
      <c r="V115" s="1057"/>
      <c r="W115" s="1057"/>
      <c r="X115" s="1058"/>
    </row>
    <row r="116" spans="1:24" s="1224" customFormat="1" ht="12" hidden="1">
      <c r="A116" s="1137" t="s">
        <v>514</v>
      </c>
      <c r="B116" s="1138"/>
      <c r="C116" s="1249">
        <v>5512</v>
      </c>
      <c r="D116" s="1216"/>
      <c r="E116" s="1211" t="s">
        <v>515</v>
      </c>
      <c r="F116" s="1080">
        <f>'[2]Summary'!E114/15.6466</f>
        <v>66907.26726573186</v>
      </c>
      <c r="G116" s="1080">
        <f>'[2]Summary'!F114/15.6466</f>
        <v>95987.06735009524</v>
      </c>
      <c r="H116" s="1081">
        <f>'[2]Summary'!G114/15.6466</f>
        <v>89495.19640049596</v>
      </c>
      <c r="I116" s="1081">
        <f>'[2]Summary'!H114/15.6466</f>
        <v>6052.027597049841</v>
      </c>
      <c r="J116" s="1082">
        <f>'[2]Summary'!I114/15.6466</f>
        <v>0</v>
      </c>
      <c r="K116" s="1217"/>
      <c r="L116" s="1084">
        <f t="shared" si="26"/>
        <v>0</v>
      </c>
      <c r="M116" s="1219"/>
      <c r="N116" s="1220"/>
      <c r="O116" s="1221"/>
      <c r="P116" s="1222"/>
      <c r="Q116" s="1089">
        <f t="shared" si="18"/>
        <v>-60855.23966868202</v>
      </c>
      <c r="R116" s="1090"/>
      <c r="S116" s="1223"/>
      <c r="U116" s="1058"/>
      <c r="V116" s="1057"/>
      <c r="W116" s="1057"/>
      <c r="X116" s="1058"/>
    </row>
    <row r="117" spans="1:24" s="1224" customFormat="1" ht="12">
      <c r="A117" s="1137"/>
      <c r="B117" s="1138"/>
      <c r="C117" s="1249">
        <v>1551</v>
      </c>
      <c r="D117" s="1216"/>
      <c r="E117" s="1079" t="s">
        <v>465</v>
      </c>
      <c r="F117" s="1080">
        <f>'[2]Summary'!E115/15.6466</f>
        <v>0</v>
      </c>
      <c r="G117" s="1080">
        <f>'[2]Summary'!F115/15.6466</f>
        <v>10225.863765929978</v>
      </c>
      <c r="H117" s="1081">
        <f>'[2]Summary'!G115/15.6466</f>
        <v>0</v>
      </c>
      <c r="I117" s="1081">
        <f>'[2]Summary'!H115/15.6466</f>
        <v>29782.828218271065</v>
      </c>
      <c r="J117" s="1082">
        <f>'[2]Summary'!I115/15.6466</f>
        <v>18578.73275983281</v>
      </c>
      <c r="K117" s="1217"/>
      <c r="L117" s="1084">
        <f t="shared" si="26"/>
        <v>18578.73275983281</v>
      </c>
      <c r="M117" s="1219">
        <v>27200</v>
      </c>
      <c r="N117" s="1220">
        <f aca="true" t="shared" si="27" ref="N117:N123">L117+M117</f>
        <v>45778.73275983281</v>
      </c>
      <c r="O117" s="1221"/>
      <c r="P117" s="1222"/>
      <c r="Q117" s="1089">
        <f t="shared" si="18"/>
        <v>29782.828218271065</v>
      </c>
      <c r="R117" s="1090"/>
      <c r="S117" s="1223"/>
      <c r="U117" s="1058"/>
      <c r="V117" s="1057"/>
      <c r="W117" s="1057"/>
      <c r="X117" s="1058"/>
    </row>
    <row r="118" spans="1:24" s="1224" customFormat="1" ht="12">
      <c r="A118" s="1137"/>
      <c r="B118" s="1138"/>
      <c r="C118" s="1249">
        <v>5512</v>
      </c>
      <c r="D118" s="1216"/>
      <c r="E118" s="1211" t="s">
        <v>516</v>
      </c>
      <c r="F118" s="1080">
        <f>'[2]Summary'!E116/15.6466</f>
        <v>36046.169774903174</v>
      </c>
      <c r="G118" s="1080">
        <f>'[2]Summary'!F116/15.6466</f>
        <v>48700.67618524152</v>
      </c>
      <c r="H118" s="1081">
        <f>'[2]Summary'!G116/15.6466</f>
        <v>38346.98912223742</v>
      </c>
      <c r="I118" s="1081">
        <f>'[2]Summary'!H116/15.6466</f>
        <v>11759.743330819476</v>
      </c>
      <c r="J118" s="1082">
        <f>'[2]Summary'!I116/15.6466</f>
        <v>21090.84401723058</v>
      </c>
      <c r="K118" s="1217"/>
      <c r="L118" s="1084">
        <f t="shared" si="26"/>
        <v>21090.84401723058</v>
      </c>
      <c r="M118" s="1219"/>
      <c r="N118" s="1220">
        <f t="shared" si="27"/>
        <v>21090.84401723058</v>
      </c>
      <c r="O118" s="1221"/>
      <c r="P118" s="1222"/>
      <c r="Q118" s="1089">
        <f t="shared" si="18"/>
        <v>-24286.4264440837</v>
      </c>
      <c r="R118" s="1090">
        <f>N118/I118%</f>
        <v>179.34782608695653</v>
      </c>
      <c r="S118" s="1223"/>
      <c r="U118" s="1058"/>
      <c r="V118" s="1057"/>
      <c r="W118" s="1057"/>
      <c r="X118" s="1058"/>
    </row>
    <row r="119" spans="1:24" s="1224" customFormat="1" ht="12">
      <c r="A119" s="1253" t="s">
        <v>517</v>
      </c>
      <c r="B119" s="1138"/>
      <c r="C119" s="1249">
        <v>5512</v>
      </c>
      <c r="D119" s="1254"/>
      <c r="E119" s="1211" t="s">
        <v>518</v>
      </c>
      <c r="F119" s="1080">
        <f>'[2]Summary'!E117/15.6466</f>
        <v>14699.679163524344</v>
      </c>
      <c r="G119" s="1080">
        <f>'[2]Summary'!F117/15.6466</f>
        <v>14699.679163524344</v>
      </c>
      <c r="H119" s="1081">
        <f>'[2]Summary'!G117/15.6466</f>
        <v>14699.679163524344</v>
      </c>
      <c r="I119" s="1081">
        <f>'[2]Summary'!H117/15.6466</f>
        <v>14699.679163524344</v>
      </c>
      <c r="J119" s="1082">
        <f>'[2]Summary'!I117/15.6466</f>
        <v>14699.679163524344</v>
      </c>
      <c r="K119" s="1217"/>
      <c r="L119" s="1084">
        <f t="shared" si="26"/>
        <v>14699.679163524344</v>
      </c>
      <c r="M119" s="1219">
        <v>-14700</v>
      </c>
      <c r="N119" s="1220">
        <f t="shared" si="27"/>
        <v>-0.3208364756555966</v>
      </c>
      <c r="O119" s="1221"/>
      <c r="P119" s="1222">
        <f>N119+O119</f>
        <v>-0.3208364756555966</v>
      </c>
      <c r="Q119" s="1089">
        <f t="shared" si="18"/>
        <v>0</v>
      </c>
      <c r="R119" s="1090">
        <f>N119/I119%</f>
        <v>-0.0021826086956490682</v>
      </c>
      <c r="S119" s="1223"/>
      <c r="U119" s="1058"/>
      <c r="V119" s="1057"/>
      <c r="W119" s="1057"/>
      <c r="X119" s="1058"/>
    </row>
    <row r="120" spans="1:24" s="1224" customFormat="1" ht="12">
      <c r="A120" s="1253" t="s">
        <v>517</v>
      </c>
      <c r="B120" s="1138"/>
      <c r="C120" s="1139">
        <v>5540</v>
      </c>
      <c r="D120" s="1216"/>
      <c r="E120" s="1211" t="s">
        <v>449</v>
      </c>
      <c r="F120" s="1080">
        <f>'[2]Summary'!E118/15.6466</f>
        <v>0</v>
      </c>
      <c r="G120" s="1080">
        <f>'[2]Summary'!F118/15.6466</f>
        <v>4793.373640279678</v>
      </c>
      <c r="H120" s="1081">
        <f>'[2]Summary'!G118/15.6466</f>
        <v>0</v>
      </c>
      <c r="I120" s="1081">
        <f>'[2]Summary'!H118/15.6466</f>
        <v>0</v>
      </c>
      <c r="J120" s="1082">
        <f>'[2]Summary'!I118/15.6466</f>
        <v>0</v>
      </c>
      <c r="K120" s="1217"/>
      <c r="L120" s="1084">
        <f t="shared" si="26"/>
        <v>0</v>
      </c>
      <c r="M120" s="1219">
        <v>14700</v>
      </c>
      <c r="N120" s="1220">
        <f t="shared" si="27"/>
        <v>14700</v>
      </c>
      <c r="O120" s="1221"/>
      <c r="P120" s="1222">
        <f>N120+O120</f>
        <v>14700</v>
      </c>
      <c r="Q120" s="1089">
        <f t="shared" si="18"/>
        <v>0</v>
      </c>
      <c r="R120" s="1090"/>
      <c r="S120" s="1223"/>
      <c r="U120" s="1058"/>
      <c r="V120" s="1057"/>
      <c r="W120" s="1057"/>
      <c r="X120" s="1058"/>
    </row>
    <row r="121" spans="1:24" ht="12" customHeight="1" thickBot="1">
      <c r="A121" s="1123" t="s">
        <v>519</v>
      </c>
      <c r="B121" s="1124"/>
      <c r="C121" s="1125">
        <v>5512</v>
      </c>
      <c r="D121" s="1126"/>
      <c r="E121" s="1211" t="s">
        <v>520</v>
      </c>
      <c r="F121" s="1080">
        <f>'[2]Summary'!E119/15.6466</f>
        <v>38346.98912223742</v>
      </c>
      <c r="G121" s="1080">
        <f>'[2]Summary'!F119/15.6466</f>
        <v>15434.663121700562</v>
      </c>
      <c r="H121" s="1081">
        <f>'[2]Summary'!G119/15.6466</f>
        <v>8308.514309818107</v>
      </c>
      <c r="I121" s="1081">
        <f>'[2]Summary'!H119/15.6466</f>
        <v>0</v>
      </c>
      <c r="J121" s="1082">
        <f>'[2]Summary'!I119/15.6466</f>
        <v>10864.980251300602</v>
      </c>
      <c r="K121" s="1128"/>
      <c r="L121" s="1084">
        <f t="shared" si="26"/>
        <v>10864.980251300602</v>
      </c>
      <c r="M121" s="1219">
        <v>11057</v>
      </c>
      <c r="N121" s="1220">
        <f t="shared" si="27"/>
        <v>21921.9802513006</v>
      </c>
      <c r="O121" s="1221"/>
      <c r="P121" s="1222">
        <f>N121+O121</f>
        <v>21921.9802513006</v>
      </c>
      <c r="Q121" s="1187">
        <f t="shared" si="18"/>
        <v>-38346.98912223742</v>
      </c>
      <c r="R121" s="1255"/>
      <c r="S121" s="1074"/>
      <c r="U121" s="1058"/>
      <c r="V121" s="1057"/>
      <c r="W121" s="1057"/>
      <c r="X121" s="1058"/>
    </row>
    <row r="122" spans="1:24" ht="12" customHeight="1" thickBot="1">
      <c r="A122" s="1123" t="s">
        <v>519</v>
      </c>
      <c r="B122" s="1233"/>
      <c r="C122" s="1125">
        <v>5502</v>
      </c>
      <c r="D122" s="1256"/>
      <c r="E122" s="1257"/>
      <c r="F122" s="1258"/>
      <c r="G122" s="1258"/>
      <c r="H122" s="1259"/>
      <c r="I122" s="1259"/>
      <c r="J122" s="1260"/>
      <c r="K122" s="1261"/>
      <c r="L122" s="1262"/>
      <c r="M122" s="1263">
        <v>4200</v>
      </c>
      <c r="N122" s="1220">
        <f t="shared" si="27"/>
        <v>4200</v>
      </c>
      <c r="O122" s="1264"/>
      <c r="P122" s="1265"/>
      <c r="Q122" s="1266"/>
      <c r="R122" s="1090"/>
      <c r="S122" s="1074"/>
      <c r="U122" s="1058"/>
      <c r="V122" s="1057"/>
      <c r="W122" s="1057"/>
      <c r="X122" s="1058"/>
    </row>
    <row r="123" spans="1:24" ht="15" customHeight="1" thickBot="1">
      <c r="A123" s="1267" t="s">
        <v>519</v>
      </c>
      <c r="B123" s="1268"/>
      <c r="C123" s="1269">
        <v>5540</v>
      </c>
      <c r="D123" s="1270"/>
      <c r="E123" s="1271" t="s">
        <v>449</v>
      </c>
      <c r="F123" s="1181">
        <f>'[2]Summary'!E120/15.6466</f>
        <v>0</v>
      </c>
      <c r="G123" s="1181">
        <f>'[2]Summary'!F120/15.6466</f>
        <v>0</v>
      </c>
      <c r="H123" s="1182">
        <f>'[2]Summary'!G120/15.6466</f>
        <v>0</v>
      </c>
      <c r="I123" s="1182">
        <f>'[2]Summary'!H120/15.6466</f>
        <v>14699.679163524344</v>
      </c>
      <c r="J123" s="1183">
        <f>'[2]Summary'!I120/15.6466</f>
        <v>0</v>
      </c>
      <c r="K123" s="1272"/>
      <c r="L123" s="1273">
        <f t="shared" si="26"/>
        <v>0</v>
      </c>
      <c r="M123" s="1274">
        <v>2850</v>
      </c>
      <c r="N123" s="1275">
        <f t="shared" si="27"/>
        <v>2850</v>
      </c>
      <c r="O123" s="1276"/>
      <c r="P123" s="1277"/>
      <c r="Q123" s="1266"/>
      <c r="R123" s="1278"/>
      <c r="S123" s="1074"/>
      <c r="U123" s="1058"/>
      <c r="V123" s="1057"/>
      <c r="W123" s="1057"/>
      <c r="X123" s="1058"/>
    </row>
    <row r="124" spans="1:24" s="1101" customFormat="1" ht="12">
      <c r="A124" s="1059" t="s">
        <v>521</v>
      </c>
      <c r="B124" s="1060"/>
      <c r="C124" s="1201"/>
      <c r="D124" s="1202"/>
      <c r="E124" s="1063" t="s">
        <v>522</v>
      </c>
      <c r="F124" s="1064">
        <f>'[2]Summary'!E121/15.6466</f>
        <v>0</v>
      </c>
      <c r="G124" s="1064">
        <f>'[2]Summary'!F121/15.6466</f>
        <v>44738.15397594366</v>
      </c>
      <c r="H124" s="1065">
        <f>'[2]Summary'!G121/15.6466</f>
        <v>0</v>
      </c>
      <c r="I124" s="1065">
        <f>'[2]Summary'!H121/15.6466</f>
        <v>0</v>
      </c>
      <c r="J124" s="1203">
        <f>'[2]Summary'!I121/15.6466</f>
        <v>31316.70778316056</v>
      </c>
      <c r="K124" s="1067">
        <f aca="true" t="shared" si="28" ref="K124:P124">SUM(K125)</f>
        <v>0</v>
      </c>
      <c r="L124" s="1204">
        <f>SUM(L126)</f>
        <v>31316.70778316056</v>
      </c>
      <c r="M124" s="1205">
        <f t="shared" si="28"/>
        <v>0</v>
      </c>
      <c r="N124" s="1204">
        <f>SUM(N126)</f>
        <v>31316.70778316056</v>
      </c>
      <c r="O124" s="1279">
        <f t="shared" si="28"/>
        <v>0</v>
      </c>
      <c r="P124" s="1279">
        <f t="shared" si="28"/>
        <v>0</v>
      </c>
      <c r="Q124" s="1072">
        <f t="shared" si="18"/>
        <v>0</v>
      </c>
      <c r="R124" s="1073"/>
      <c r="S124" s="1100"/>
      <c r="U124" s="1058"/>
      <c r="V124" s="1057"/>
      <c r="W124" s="1057"/>
      <c r="X124" s="1058"/>
    </row>
    <row r="125" spans="1:24" s="1101" customFormat="1" ht="12" hidden="1">
      <c r="A125" s="1146" t="s">
        <v>523</v>
      </c>
      <c r="B125" s="1147"/>
      <c r="C125" s="1093"/>
      <c r="D125" s="1136"/>
      <c r="E125" s="1120" t="s">
        <v>524</v>
      </c>
      <c r="F125" s="1080">
        <f>'[2]Summary'!E122/15.6466</f>
        <v>0</v>
      </c>
      <c r="G125" s="1080">
        <f>'[2]Summary'!F122/15.6466</f>
        <v>0</v>
      </c>
      <c r="H125" s="1081">
        <f>'[2]Summary'!G122/15.6466</f>
        <v>0</v>
      </c>
      <c r="I125" s="1081">
        <f>'[2]Summary'!H122/15.6466</f>
        <v>0</v>
      </c>
      <c r="J125" s="1082">
        <f>'[2]Summary'!I122/15.6466</f>
        <v>0</v>
      </c>
      <c r="K125" s="1128"/>
      <c r="L125" s="1084">
        <f>J125+K125</f>
        <v>0</v>
      </c>
      <c r="M125" s="1129"/>
      <c r="N125" s="1086">
        <f>L125+M125</f>
        <v>0</v>
      </c>
      <c r="O125" s="1087"/>
      <c r="P125" s="1149">
        <f>N125+O125</f>
        <v>0</v>
      </c>
      <c r="Q125" s="1089">
        <f t="shared" si="18"/>
        <v>0</v>
      </c>
      <c r="R125" s="1090" t="e">
        <f aca="true" t="shared" si="29" ref="R125:R131">N125/I125%</f>
        <v>#DIV/0!</v>
      </c>
      <c r="S125" s="1100"/>
      <c r="U125" s="1058"/>
      <c r="V125" s="1057"/>
      <c r="W125" s="1057"/>
      <c r="X125" s="1058"/>
    </row>
    <row r="126" spans="1:24" s="1101" customFormat="1" ht="12">
      <c r="A126" s="1146" t="s">
        <v>521</v>
      </c>
      <c r="B126" s="1147"/>
      <c r="C126" s="1093"/>
      <c r="D126" s="1136"/>
      <c r="E126" s="1152" t="s">
        <v>525</v>
      </c>
      <c r="F126" s="1080">
        <f>'[2]Summary'!E123/15.6466</f>
        <v>44738.15397594366</v>
      </c>
      <c r="G126" s="1080">
        <f>'[2]Summary'!F123/15.6466</f>
        <v>44738.15397594366</v>
      </c>
      <c r="H126" s="1081">
        <f>'[2]Summary'!G123/15.6466</f>
        <v>34512.29021001368</v>
      </c>
      <c r="I126" s="1081">
        <f>'[2]Summary'!H123/15.6466</f>
        <v>37068.75615149617</v>
      </c>
      <c r="J126" s="1082">
        <f>'[2]Summary'!I123/15.6466</f>
        <v>31316.70778316056</v>
      </c>
      <c r="K126" s="1155">
        <f>SUM(K127:K134)</f>
        <v>0</v>
      </c>
      <c r="L126" s="1107">
        <f>SUM(L127:L134)</f>
        <v>31316.70778316056</v>
      </c>
      <c r="M126" s="1108">
        <f>SUM(M127:M134)</f>
        <v>0</v>
      </c>
      <c r="N126" s="1109">
        <f>SUM(N127:N134)</f>
        <v>31316.70778316056</v>
      </c>
      <c r="O126" s="1110"/>
      <c r="P126" s="1280">
        <f>N126+O126</f>
        <v>31316.70778316056</v>
      </c>
      <c r="Q126" s="1089">
        <f t="shared" si="18"/>
        <v>-7669.397824447486</v>
      </c>
      <c r="R126" s="1090">
        <f t="shared" si="29"/>
        <v>84.48275862068967</v>
      </c>
      <c r="S126" s="1100"/>
      <c r="U126" s="1058"/>
      <c r="V126" s="1057"/>
      <c r="W126" s="1057"/>
      <c r="X126" s="1058"/>
    </row>
    <row r="127" spans="1:24" s="1101" customFormat="1" ht="12">
      <c r="A127" s="1123" t="s">
        <v>526</v>
      </c>
      <c r="B127" s="1124"/>
      <c r="C127" s="1125"/>
      <c r="D127" s="1126"/>
      <c r="E127" s="1211" t="s">
        <v>527</v>
      </c>
      <c r="F127" s="1080">
        <f>'[2]Summary'!E124/15.6466</f>
        <v>23008.193473342453</v>
      </c>
      <c r="G127" s="1080">
        <f>'[2]Summary'!F124/15.6466</f>
        <v>23008.193473342453</v>
      </c>
      <c r="H127" s="1081">
        <f>'[2]Summary'!G124/15.6466</f>
        <v>19173.49456111871</v>
      </c>
      <c r="I127" s="1081">
        <f>'[2]Summary'!H124/15.6466</f>
        <v>19173.49456111871</v>
      </c>
      <c r="J127" s="1082">
        <f>'[2]Summary'!I124/15.6466</f>
        <v>19173.49456111871</v>
      </c>
      <c r="K127" s="1128"/>
      <c r="L127" s="1281">
        <f>J127+K127</f>
        <v>19173.49456111871</v>
      </c>
      <c r="M127" s="1209"/>
      <c r="N127" s="1220">
        <f>L127+M127</f>
        <v>19173.49456111871</v>
      </c>
      <c r="O127" s="1132"/>
      <c r="P127" s="1282"/>
      <c r="Q127" s="1089">
        <f t="shared" si="18"/>
        <v>-3834.698912223743</v>
      </c>
      <c r="R127" s="1090">
        <f t="shared" si="29"/>
        <v>100</v>
      </c>
      <c r="S127" s="1100"/>
      <c r="U127" s="1058"/>
      <c r="V127" s="1057"/>
      <c r="W127" s="1057"/>
      <c r="X127" s="1058"/>
    </row>
    <row r="128" spans="1:24" s="1101" customFormat="1" ht="12" hidden="1">
      <c r="A128" s="1123" t="s">
        <v>528</v>
      </c>
      <c r="B128" s="1124"/>
      <c r="C128" s="1093"/>
      <c r="D128" s="1136"/>
      <c r="E128" s="1211" t="s">
        <v>529</v>
      </c>
      <c r="F128" s="1080">
        <f>'[2]Summary'!E125/15.6466</f>
        <v>0</v>
      </c>
      <c r="G128" s="1080">
        <f>'[2]Summary'!F125/15.6466</f>
        <v>0</v>
      </c>
      <c r="H128" s="1081">
        <f>'[2]Summary'!G125/15.6466</f>
        <v>0</v>
      </c>
      <c r="I128" s="1081">
        <f>'[2]Summary'!H125/15.6466</f>
        <v>0</v>
      </c>
      <c r="J128" s="1082">
        <f>'[2]Summary'!I125/15.6466</f>
        <v>0</v>
      </c>
      <c r="K128" s="1128"/>
      <c r="L128" s="1281">
        <f>J128+K128</f>
        <v>0</v>
      </c>
      <c r="M128" s="1209"/>
      <c r="N128" s="1220">
        <f>L128+M128</f>
        <v>0</v>
      </c>
      <c r="O128" s="1132"/>
      <c r="P128" s="1282"/>
      <c r="Q128" s="1089">
        <f t="shared" si="18"/>
        <v>0</v>
      </c>
      <c r="R128" s="1090" t="e">
        <f t="shared" si="29"/>
        <v>#DIV/0!</v>
      </c>
      <c r="S128" s="1100"/>
      <c r="U128" s="1058"/>
      <c r="V128" s="1057"/>
      <c r="W128" s="1057"/>
      <c r="X128" s="1058"/>
    </row>
    <row r="129" spans="1:24" s="1101" customFormat="1" ht="12" hidden="1">
      <c r="A129" s="1123"/>
      <c r="B129" s="1124"/>
      <c r="C129" s="1093"/>
      <c r="D129" s="1136"/>
      <c r="E129" s="1211" t="s">
        <v>530</v>
      </c>
      <c r="F129" s="1080">
        <f>'[2]Summary'!E126/15.6466</f>
        <v>0</v>
      </c>
      <c r="G129" s="1080">
        <f>'[2]Summary'!F126/15.6466</f>
        <v>0</v>
      </c>
      <c r="H129" s="1081">
        <f>'[2]Summary'!G126/15.6466</f>
        <v>0</v>
      </c>
      <c r="I129" s="1081">
        <f>'[2]Summary'!H126/15.6466</f>
        <v>0</v>
      </c>
      <c r="J129" s="1082">
        <f>'[2]Summary'!I126/15.6466</f>
        <v>0</v>
      </c>
      <c r="K129" s="1128"/>
      <c r="L129" s="1281"/>
      <c r="M129" s="1209"/>
      <c r="N129" s="1220"/>
      <c r="O129" s="1132"/>
      <c r="P129" s="1282"/>
      <c r="Q129" s="1089">
        <f t="shared" si="18"/>
        <v>0</v>
      </c>
      <c r="R129" s="1090" t="e">
        <f t="shared" si="29"/>
        <v>#DIV/0!</v>
      </c>
      <c r="S129" s="1100"/>
      <c r="U129" s="1058"/>
      <c r="V129" s="1057"/>
      <c r="W129" s="1057"/>
      <c r="X129" s="1058"/>
    </row>
    <row r="130" spans="1:24" s="1101" customFormat="1" ht="12">
      <c r="A130" s="1123" t="s">
        <v>526</v>
      </c>
      <c r="B130" s="1124"/>
      <c r="C130" s="1093"/>
      <c r="D130" s="1136"/>
      <c r="E130" s="1211" t="s">
        <v>531</v>
      </c>
      <c r="F130" s="1080">
        <f>'[2]Summary'!E127/15.6466</f>
        <v>5752.048368335613</v>
      </c>
      <c r="G130" s="1080">
        <f>'[2]Summary'!F127/15.6466</f>
        <v>5752.048368335613</v>
      </c>
      <c r="H130" s="1081">
        <f>'[2]Summary'!G127/15.6466</f>
        <v>5752.048368335613</v>
      </c>
      <c r="I130" s="1081">
        <f>'[2]Summary'!H127/15.6466</f>
        <v>5752.048368335613</v>
      </c>
      <c r="J130" s="1082">
        <f>'[2]Summary'!I127/15.6466</f>
        <v>5752.048368335613</v>
      </c>
      <c r="K130" s="1128"/>
      <c r="L130" s="1281">
        <f aca="true" t="shared" si="30" ref="L130:L138">J130+K130</f>
        <v>5752.048368335613</v>
      </c>
      <c r="M130" s="1209"/>
      <c r="N130" s="1220">
        <f aca="true" t="shared" si="31" ref="N130:N158">L130+M130</f>
        <v>5752.048368335613</v>
      </c>
      <c r="O130" s="1132"/>
      <c r="P130" s="1282"/>
      <c r="Q130" s="1089">
        <f t="shared" si="18"/>
        <v>0</v>
      </c>
      <c r="R130" s="1090">
        <f t="shared" si="29"/>
        <v>100</v>
      </c>
      <c r="S130" s="1100"/>
      <c r="U130" s="1058"/>
      <c r="V130" s="1057"/>
      <c r="W130" s="1057"/>
      <c r="X130" s="1058"/>
    </row>
    <row r="131" spans="1:24" s="1101" customFormat="1" ht="12">
      <c r="A131" s="1123" t="s">
        <v>532</v>
      </c>
      <c r="B131" s="1124"/>
      <c r="C131" s="1093"/>
      <c r="D131" s="1136"/>
      <c r="E131" s="1211" t="s">
        <v>533</v>
      </c>
      <c r="F131" s="1080">
        <f>'[2]Summary'!E128/15.6466</f>
        <v>3195.5824268531182</v>
      </c>
      <c r="G131" s="1080">
        <f>'[2]Summary'!F128/15.6466</f>
        <v>3195.5824268531182</v>
      </c>
      <c r="H131" s="1081">
        <f>'[2]Summary'!G128/15.6466</f>
        <v>3195.5824268531182</v>
      </c>
      <c r="I131" s="1081">
        <f>'[2]Summary'!H128/15.6466</f>
        <v>3195.5824268531182</v>
      </c>
      <c r="J131" s="1082">
        <f>'[2]Summary'!I128/15.6466</f>
        <v>3195.5824268531182</v>
      </c>
      <c r="K131" s="1128"/>
      <c r="L131" s="1281">
        <f t="shared" si="30"/>
        <v>3195.5824268531182</v>
      </c>
      <c r="M131" s="1209"/>
      <c r="N131" s="1220">
        <f t="shared" si="31"/>
        <v>3195.5824268531182</v>
      </c>
      <c r="O131" s="1132"/>
      <c r="P131" s="1282"/>
      <c r="Q131" s="1089">
        <f t="shared" si="18"/>
        <v>0</v>
      </c>
      <c r="R131" s="1090">
        <f t="shared" si="29"/>
        <v>100</v>
      </c>
      <c r="S131" s="1100"/>
      <c r="U131" s="1058"/>
      <c r="V131" s="1057"/>
      <c r="W131" s="1057"/>
      <c r="X131" s="1058"/>
    </row>
    <row r="132" spans="1:24" s="1101" customFormat="1" ht="12">
      <c r="A132" s="1123" t="s">
        <v>534</v>
      </c>
      <c r="B132" s="1124"/>
      <c r="C132" s="1093"/>
      <c r="D132" s="1136"/>
      <c r="E132" s="1211" t="s">
        <v>535</v>
      </c>
      <c r="F132" s="1080">
        <f>'[2]Summary'!E129/15.6466</f>
        <v>3195.5824268531182</v>
      </c>
      <c r="G132" s="1080">
        <f>'[2]Summary'!F129/15.6466</f>
        <v>3195.5824268531182</v>
      </c>
      <c r="H132" s="1081">
        <f>'[2]Summary'!G129/15.6466</f>
        <v>3195.5824268531182</v>
      </c>
      <c r="I132" s="1081">
        <f>'[2]Summary'!H129/15.6466</f>
        <v>3195.5824268531182</v>
      </c>
      <c r="J132" s="1082">
        <f>'[2]Summary'!I129/15.6466</f>
        <v>0</v>
      </c>
      <c r="K132" s="1128"/>
      <c r="L132" s="1281">
        <f t="shared" si="30"/>
        <v>0</v>
      </c>
      <c r="M132" s="1209"/>
      <c r="N132" s="1220">
        <f t="shared" si="31"/>
        <v>0</v>
      </c>
      <c r="O132" s="1132"/>
      <c r="P132" s="1282"/>
      <c r="Q132" s="1089">
        <f t="shared" si="18"/>
        <v>0</v>
      </c>
      <c r="R132" s="1090"/>
      <c r="S132" s="1100"/>
      <c r="U132" s="1058"/>
      <c r="V132" s="1057"/>
      <c r="W132" s="1057"/>
      <c r="X132" s="1058"/>
    </row>
    <row r="133" spans="1:24" s="1101" customFormat="1" ht="12">
      <c r="A133" s="1123" t="s">
        <v>536</v>
      </c>
      <c r="B133" s="1124"/>
      <c r="C133" s="1093"/>
      <c r="D133" s="1136"/>
      <c r="E133" s="1211" t="s">
        <v>537</v>
      </c>
      <c r="F133" s="1080">
        <f>'[2]Summary'!E130/15.6466</f>
        <v>3195.5824268531182</v>
      </c>
      <c r="G133" s="1080">
        <f>'[2]Summary'!F130/15.6466</f>
        <v>3195.5824268531182</v>
      </c>
      <c r="H133" s="1081">
        <f>'[2]Summary'!G130/15.6466</f>
        <v>3195.5824268531182</v>
      </c>
      <c r="I133" s="1081">
        <f>'[2]Summary'!H130/15.6466</f>
        <v>3195.5824268531182</v>
      </c>
      <c r="J133" s="1082">
        <f>'[2]Summary'!I130/15.6466</f>
        <v>3195.5824268531182</v>
      </c>
      <c r="K133" s="1128"/>
      <c r="L133" s="1281">
        <f t="shared" si="30"/>
        <v>3195.5824268531182</v>
      </c>
      <c r="M133" s="1209"/>
      <c r="N133" s="1220">
        <f t="shared" si="31"/>
        <v>3195.5824268531182</v>
      </c>
      <c r="O133" s="1132"/>
      <c r="P133" s="1282"/>
      <c r="Q133" s="1089">
        <f t="shared" si="18"/>
        <v>0</v>
      </c>
      <c r="R133" s="1090">
        <f>N133/I133%</f>
        <v>100</v>
      </c>
      <c r="S133" s="1100"/>
      <c r="U133" s="1058"/>
      <c r="V133" s="1057"/>
      <c r="W133" s="1057"/>
      <c r="X133" s="1058"/>
    </row>
    <row r="134" spans="1:24" s="1101" customFormat="1" ht="12">
      <c r="A134" s="1123" t="s">
        <v>538</v>
      </c>
      <c r="B134" s="1124"/>
      <c r="C134" s="1093"/>
      <c r="D134" s="1136"/>
      <c r="E134" s="1211" t="s">
        <v>539</v>
      </c>
      <c r="F134" s="1080">
        <f>'[2]Summary'!E131/15.6466</f>
        <v>6391.1648537062365</v>
      </c>
      <c r="G134" s="1080">
        <f>'[2]Summary'!F131/15.6466</f>
        <v>6391.1648537062365</v>
      </c>
      <c r="H134" s="1081">
        <f>'[2]Summary'!G131/15.6466</f>
        <v>0</v>
      </c>
      <c r="I134" s="1081">
        <f>'[2]Summary'!H131/15.6466</f>
        <v>2556.4659414824946</v>
      </c>
      <c r="J134" s="1082">
        <f>'[2]Summary'!I131/15.6466</f>
        <v>0</v>
      </c>
      <c r="K134" s="1128"/>
      <c r="L134" s="1281">
        <f t="shared" si="30"/>
        <v>0</v>
      </c>
      <c r="M134" s="1209"/>
      <c r="N134" s="1220">
        <f t="shared" si="31"/>
        <v>0</v>
      </c>
      <c r="O134" s="1132"/>
      <c r="P134" s="1282"/>
      <c r="Q134" s="1089">
        <f t="shared" si="18"/>
        <v>-3834.698912223742</v>
      </c>
      <c r="R134" s="1090"/>
      <c r="S134" s="1100"/>
      <c r="U134" s="1058"/>
      <c r="V134" s="1057"/>
      <c r="W134" s="1057"/>
      <c r="X134" s="1058"/>
    </row>
    <row r="135" spans="1:24" s="1101" customFormat="1" ht="11.25">
      <c r="A135" s="1146" t="s">
        <v>540</v>
      </c>
      <c r="B135" s="1147"/>
      <c r="C135" s="1093"/>
      <c r="D135" s="1094"/>
      <c r="E135" s="1152" t="s">
        <v>541</v>
      </c>
      <c r="F135" s="1080">
        <f>'[2]Summary'!E132/15.6466</f>
        <v>1101116.022905935</v>
      </c>
      <c r="G135" s="1080">
        <f>'[2]Summary'!F132/15.6466</f>
        <v>1432743.1518668593</v>
      </c>
      <c r="H135" s="1081">
        <f>'[2]Summary'!G132/15.6466</f>
        <v>1058886.0847724108</v>
      </c>
      <c r="I135" s="1081">
        <f>'[2]Summary'!H132/15.6466</f>
        <v>1080936.9512865415</v>
      </c>
      <c r="J135" s="1283">
        <f>J136+J137+J138+J160+J162+J167+J168+J169+J170+J175+J179+J164</f>
        <v>918393.5781575551</v>
      </c>
      <c r="K135" s="1155">
        <f>K136+K137+K138+K160+K162+K167+K168+K169+K170+K175+K177+K179+K164</f>
        <v>60718.368</v>
      </c>
      <c r="L135" s="1084">
        <f t="shared" si="30"/>
        <v>979111.9461575551</v>
      </c>
      <c r="M135" s="1156">
        <f>M136+M164+M175</f>
        <v>101666.32800000001</v>
      </c>
      <c r="N135" s="1084">
        <f t="shared" si="31"/>
        <v>1080778.274157555</v>
      </c>
      <c r="O135" s="1108" t="e">
        <f>O136+O137+O138+O139+O160+O162+O167+O168+O169+O170+O175+O178+O179+O164</f>
        <v>#REF!</v>
      </c>
      <c r="P135" s="1157" t="e">
        <f>P136+P137+P138+P139+P160+P162+P167+P168+P169+P170+P175+P178+P179+P164</f>
        <v>#REF!</v>
      </c>
      <c r="Q135" s="1089">
        <f t="shared" si="18"/>
        <v>-20179.071619393537</v>
      </c>
      <c r="R135" s="1090">
        <f>N135/I135%</f>
        <v>99.98532040848474</v>
      </c>
      <c r="S135" s="1100"/>
      <c r="U135" s="1058"/>
      <c r="V135" s="1057"/>
      <c r="W135" s="1057"/>
      <c r="X135" s="1058"/>
    </row>
    <row r="136" spans="1:24" s="1100" customFormat="1" ht="15" customHeight="1">
      <c r="A136" s="1146" t="s">
        <v>542</v>
      </c>
      <c r="B136" s="1147"/>
      <c r="C136" s="1093"/>
      <c r="D136" s="1136"/>
      <c r="E136" s="1152" t="s">
        <v>543</v>
      </c>
      <c r="F136" s="1080">
        <f>'[2]Summary'!E133/15.6466</f>
        <v>509399.0506563726</v>
      </c>
      <c r="G136" s="1080">
        <f>'[2]Summary'!F133/15.6466</f>
        <v>709631.804992778</v>
      </c>
      <c r="H136" s="1081">
        <f>'[2]Summary'!G133/15.6466</f>
        <v>508320.1462298519</v>
      </c>
      <c r="I136" s="1081">
        <f>'[2]Summary'!H133/15.6466</f>
        <v>539956.4122556978</v>
      </c>
      <c r="J136" s="1284">
        <f>J159+J163+J139+J161</f>
        <v>473204.18237828027</v>
      </c>
      <c r="K136" s="1083">
        <f>K159+K163+K139+K161</f>
        <v>5800.104</v>
      </c>
      <c r="L136" s="1285">
        <f>J136+K136</f>
        <v>479004.28637828026</v>
      </c>
      <c r="M136" s="1286">
        <f>M159+M163+M139+M161</f>
        <v>19242.808</v>
      </c>
      <c r="N136" s="1287">
        <f t="shared" si="31"/>
        <v>498247.0943782803</v>
      </c>
      <c r="O136" s="1108">
        <f>O159+O163</f>
        <v>5799.808</v>
      </c>
      <c r="P136" s="1157">
        <f>P159+P163</f>
        <v>0</v>
      </c>
      <c r="Q136" s="1089">
        <f t="shared" si="18"/>
        <v>30557.361599325144</v>
      </c>
      <c r="R136" s="1090">
        <f>N136/I136%</f>
        <v>92.27542873263148</v>
      </c>
      <c r="U136" s="1058"/>
      <c r="V136" s="1057"/>
      <c r="W136" s="1057"/>
      <c r="X136" s="1058"/>
    </row>
    <row r="137" spans="1:24" s="1101" customFormat="1" ht="12" hidden="1">
      <c r="A137" s="1146" t="s">
        <v>544</v>
      </c>
      <c r="B137" s="1147"/>
      <c r="C137" s="1093"/>
      <c r="D137" s="1094"/>
      <c r="E137" s="1079" t="s">
        <v>545</v>
      </c>
      <c r="F137" s="1080">
        <f>'[2]Summary'!E134/15.6466</f>
        <v>0</v>
      </c>
      <c r="G137" s="1080">
        <f>'[2]Summary'!F134/15.6466</f>
        <v>0</v>
      </c>
      <c r="H137" s="1081">
        <f>'[2]Summary'!G134/15.6466</f>
        <v>0</v>
      </c>
      <c r="I137" s="1081">
        <f>'[2]Summary'!H134/15.6466</f>
        <v>0</v>
      </c>
      <c r="J137" s="1082">
        <f>'[2]Summary'!I134/15.6466</f>
        <v>0</v>
      </c>
      <c r="K137" s="1083"/>
      <c r="L137" s="1084">
        <f t="shared" si="30"/>
        <v>0</v>
      </c>
      <c r="M137" s="1151"/>
      <c r="N137" s="1086">
        <f t="shared" si="31"/>
        <v>0</v>
      </c>
      <c r="O137" s="1087"/>
      <c r="P137" s="1149">
        <f>N137+O137</f>
        <v>0</v>
      </c>
      <c r="Q137" s="1089">
        <f t="shared" si="18"/>
        <v>0</v>
      </c>
      <c r="R137" s="1090" t="e">
        <f>N137/I137%</f>
        <v>#DIV/0!</v>
      </c>
      <c r="S137" s="1100"/>
      <c r="U137" s="1058"/>
      <c r="V137" s="1057"/>
      <c r="W137" s="1057"/>
      <c r="X137" s="1058"/>
    </row>
    <row r="138" spans="1:24" s="1101" customFormat="1" ht="12.75" customHeight="1" hidden="1">
      <c r="A138" s="1146" t="s">
        <v>546</v>
      </c>
      <c r="B138" s="1147"/>
      <c r="C138" s="1093"/>
      <c r="D138" s="1136"/>
      <c r="E138" s="1079" t="s">
        <v>547</v>
      </c>
      <c r="F138" s="1080">
        <f>'[2]Summary'!E135/15.6466</f>
        <v>0</v>
      </c>
      <c r="G138" s="1080">
        <f>'[2]Summary'!F135/15.6466</f>
        <v>0</v>
      </c>
      <c r="H138" s="1081">
        <f>'[2]Summary'!G135/15.6466</f>
        <v>0</v>
      </c>
      <c r="I138" s="1081">
        <f>'[2]Summary'!H135/15.6466</f>
        <v>0</v>
      </c>
      <c r="J138" s="1082">
        <f>'[2]Summary'!I135/15.6466</f>
        <v>0</v>
      </c>
      <c r="K138" s="1083"/>
      <c r="L138" s="1084">
        <f t="shared" si="30"/>
        <v>0</v>
      </c>
      <c r="M138" s="1151"/>
      <c r="N138" s="1086">
        <f t="shared" si="31"/>
        <v>0</v>
      </c>
      <c r="O138" s="1087"/>
      <c r="P138" s="1149">
        <f>N138+O138</f>
        <v>0</v>
      </c>
      <c r="Q138" s="1089">
        <f t="shared" si="18"/>
        <v>0</v>
      </c>
      <c r="R138" s="1090" t="e">
        <f>N138/I138%</f>
        <v>#DIV/0!</v>
      </c>
      <c r="S138" s="1100"/>
      <c r="U138" s="1058"/>
      <c r="V138" s="1057"/>
      <c r="W138" s="1057"/>
      <c r="X138" s="1058"/>
    </row>
    <row r="139" spans="1:24" s="1101" customFormat="1" ht="12.75" customHeight="1">
      <c r="A139" s="1146" t="s">
        <v>548</v>
      </c>
      <c r="B139" s="1147"/>
      <c r="C139" s="1288"/>
      <c r="D139" s="1289"/>
      <c r="E139" s="1152" t="s">
        <v>549</v>
      </c>
      <c r="F139" s="1080">
        <f>'[2]Summary'!E136/15.6466</f>
        <v>44738.15397594366</v>
      </c>
      <c r="G139" s="1080">
        <f>'[2]Summary'!F136/15.6466</f>
        <v>247785.4613781908</v>
      </c>
      <c r="H139" s="1081">
        <f>'[2]Summary'!G136/15.6466</f>
        <v>73626.21911469585</v>
      </c>
      <c r="I139" s="1081">
        <f>'[2]Summary'!H136/15.6466</f>
        <v>73626.21911469585</v>
      </c>
      <c r="J139" s="1154">
        <f>J140+J144+J147+J150+J153+J156</f>
        <v>87558.95849577544</v>
      </c>
      <c r="K139" s="1155">
        <f>K140+K144+K147+K150+K153+K156</f>
        <v>0</v>
      </c>
      <c r="L139" s="1107">
        <f>L140+L144+L147+L150+L153+L156</f>
        <v>87558.95849577544</v>
      </c>
      <c r="M139" s="1154">
        <f>M140+M144+M147+M150+M153+M156</f>
        <v>12793</v>
      </c>
      <c r="N139" s="1287">
        <f t="shared" si="31"/>
        <v>100351.95849577544</v>
      </c>
      <c r="O139" s="1087"/>
      <c r="P139" s="1149">
        <f>N139+O139</f>
        <v>100351.95849577544</v>
      </c>
      <c r="Q139" s="1089">
        <f t="shared" si="18"/>
        <v>28888.065138752194</v>
      </c>
      <c r="R139" s="1090">
        <f>N139/I139%</f>
        <v>136.29921473958333</v>
      </c>
      <c r="S139" s="1100"/>
      <c r="U139" s="1058"/>
      <c r="V139" s="1057"/>
      <c r="W139" s="1057"/>
      <c r="X139" s="1058"/>
    </row>
    <row r="140" spans="1:24" s="1101" customFormat="1" ht="12.75" customHeight="1">
      <c r="A140" s="1146"/>
      <c r="B140" s="1147"/>
      <c r="C140" s="1288"/>
      <c r="D140" s="1289"/>
      <c r="E140" s="1120" t="s">
        <v>550</v>
      </c>
      <c r="F140" s="1080">
        <f>'[2]Summary'!E137/15.6466</f>
        <v>6391.1648537062365</v>
      </c>
      <c r="G140" s="1080">
        <f>'[2]Summary'!F137/15.6466</f>
        <v>5432.490125650301</v>
      </c>
      <c r="H140" s="1081">
        <f>'[2]Summary'!G137/15.6466</f>
        <v>0</v>
      </c>
      <c r="I140" s="1081">
        <f>'[2]Summary'!H137/15.6466</f>
        <v>0</v>
      </c>
      <c r="J140" s="1082">
        <f>'[2]Summary'!I137/15.6466</f>
        <v>0</v>
      </c>
      <c r="K140" s="1252">
        <f>K141+K142</f>
        <v>0</v>
      </c>
      <c r="L140" s="1112">
        <f>L141+L142</f>
        <v>0</v>
      </c>
      <c r="M140" s="1290">
        <f>M142+M141</f>
        <v>7473</v>
      </c>
      <c r="N140" s="1287">
        <f t="shared" si="31"/>
        <v>7473</v>
      </c>
      <c r="O140" s="1132"/>
      <c r="P140" s="1282"/>
      <c r="Q140" s="1089">
        <f t="shared" si="18"/>
        <v>-6391.1648537062365</v>
      </c>
      <c r="R140" s="1090"/>
      <c r="S140" s="1100"/>
      <c r="U140" s="1058"/>
      <c r="V140" s="1057"/>
      <c r="W140" s="1057"/>
      <c r="X140" s="1058"/>
    </row>
    <row r="141" spans="1:24" s="1101" customFormat="1" ht="12.75" customHeight="1">
      <c r="A141" s="1146"/>
      <c r="B141" s="1147"/>
      <c r="C141" s="1226">
        <v>5512</v>
      </c>
      <c r="D141" s="1136"/>
      <c r="E141" s="1211" t="s">
        <v>551</v>
      </c>
      <c r="F141" s="1080">
        <f>'[2]Summary'!E138/15.6466</f>
        <v>0</v>
      </c>
      <c r="G141" s="1080">
        <f>'[2]Summary'!F138/15.6466</f>
        <v>0</v>
      </c>
      <c r="H141" s="1081">
        <f>'[2]Summary'!G138/15.6466</f>
        <v>0</v>
      </c>
      <c r="I141" s="1081">
        <f>'[2]Summary'!H138/15.6466</f>
        <v>0</v>
      </c>
      <c r="J141" s="1082">
        <f>'[2]Summary'!I138/15.6466</f>
        <v>0</v>
      </c>
      <c r="K141" s="1083"/>
      <c r="L141" s="1084"/>
      <c r="M141" s="1151">
        <v>4833</v>
      </c>
      <c r="N141" s="1287">
        <f t="shared" si="31"/>
        <v>4833</v>
      </c>
      <c r="O141" s="1132"/>
      <c r="P141" s="1282"/>
      <c r="Q141" s="1089">
        <f t="shared" si="18"/>
        <v>0</v>
      </c>
      <c r="R141" s="1090"/>
      <c r="S141" s="1100"/>
      <c r="U141" s="1058"/>
      <c r="V141" s="1057"/>
      <c r="W141" s="1057"/>
      <c r="X141" s="1058"/>
    </row>
    <row r="142" spans="1:24" s="1101" customFormat="1" ht="12.75" customHeight="1">
      <c r="A142" s="1146"/>
      <c r="B142" s="1147"/>
      <c r="C142" s="1226">
        <v>1551</v>
      </c>
      <c r="D142" s="1136"/>
      <c r="E142" s="1211" t="s">
        <v>552</v>
      </c>
      <c r="F142" s="1080">
        <f>'[2]Summary'!E139/15.6466</f>
        <v>6391.1648537062365</v>
      </c>
      <c r="G142" s="1080">
        <f>'[2]Summary'!F139/15.6466</f>
        <v>0</v>
      </c>
      <c r="H142" s="1081">
        <f>'[2]Summary'!G139/15.6466</f>
        <v>0</v>
      </c>
      <c r="I142" s="1081">
        <f>'[2]Summary'!H139/15.6466</f>
        <v>0</v>
      </c>
      <c r="J142" s="1082">
        <f>'[2]Summary'!I139/15.6466</f>
        <v>0</v>
      </c>
      <c r="K142" s="1083"/>
      <c r="L142" s="1281">
        <f>J142+K142</f>
        <v>0</v>
      </c>
      <c r="M142" s="1086">
        <v>2640</v>
      </c>
      <c r="N142" s="1291">
        <f t="shared" si="31"/>
        <v>2640</v>
      </c>
      <c r="O142" s="1132"/>
      <c r="P142" s="1282"/>
      <c r="Q142" s="1089">
        <f t="shared" si="18"/>
        <v>-6391.1648537062365</v>
      </c>
      <c r="R142" s="1090"/>
      <c r="S142" s="1100"/>
      <c r="U142" s="1058"/>
      <c r="V142" s="1057"/>
      <c r="W142" s="1057"/>
      <c r="X142" s="1058"/>
    </row>
    <row r="143" spans="1:24" s="1101" customFormat="1" ht="12.75" customHeight="1" hidden="1">
      <c r="A143" s="1146"/>
      <c r="B143" s="1147"/>
      <c r="C143" s="1226">
        <v>5502</v>
      </c>
      <c r="D143" s="1136"/>
      <c r="E143" s="1211" t="s">
        <v>474</v>
      </c>
      <c r="F143" s="1080">
        <f>'[2]Summary'!E140/15.6466</f>
        <v>0</v>
      </c>
      <c r="G143" s="1080">
        <f>'[2]Summary'!F140/15.6466</f>
        <v>5432.490125650301</v>
      </c>
      <c r="H143" s="1081">
        <f>'[2]Summary'!G140/15.6466</f>
        <v>0</v>
      </c>
      <c r="I143" s="1081">
        <f>'[2]Summary'!H140/15.6466</f>
        <v>0</v>
      </c>
      <c r="J143" s="1082">
        <f>'[2]Summary'!I140/15.6466</f>
        <v>0</v>
      </c>
      <c r="K143" s="1083"/>
      <c r="L143" s="1281"/>
      <c r="M143" s="1086"/>
      <c r="N143" s="1291">
        <f t="shared" si="31"/>
        <v>0</v>
      </c>
      <c r="O143" s="1132"/>
      <c r="P143" s="1282"/>
      <c r="Q143" s="1089">
        <f t="shared" si="18"/>
        <v>0</v>
      </c>
      <c r="R143" s="1090"/>
      <c r="S143" s="1100"/>
      <c r="U143" s="1058"/>
      <c r="V143" s="1057"/>
      <c r="W143" s="1057"/>
      <c r="X143" s="1058"/>
    </row>
    <row r="144" spans="1:24" s="1101" customFormat="1" ht="12.75" customHeight="1">
      <c r="A144" s="1146"/>
      <c r="B144" s="1147"/>
      <c r="C144" s="1226"/>
      <c r="D144" s="1136"/>
      <c r="E144" s="1120" t="s">
        <v>553</v>
      </c>
      <c r="F144" s="1080">
        <f>'[2]Summary'!E141/15.6466</f>
        <v>19173.49456111871</v>
      </c>
      <c r="G144" s="1080">
        <f>'[2]Summary'!F141/15.6466</f>
        <v>28760.241841678064</v>
      </c>
      <c r="H144" s="1081">
        <f>'[2]Summary'!G141/15.6466</f>
        <v>19173.49456111871</v>
      </c>
      <c r="I144" s="1081">
        <f>'[2]Summary'!H141/15.6466</f>
        <v>19173.49456111871</v>
      </c>
      <c r="J144" s="1082">
        <f>'[2]Summary'!I141/15.6466</f>
        <v>19173.49456111871</v>
      </c>
      <c r="K144" s="1096">
        <f>K145+K146</f>
        <v>0</v>
      </c>
      <c r="L144" s="1292">
        <f>L145+L146</f>
        <v>19173.49456111871</v>
      </c>
      <c r="M144" s="1293"/>
      <c r="N144" s="1287">
        <f t="shared" si="31"/>
        <v>19173.49456111871</v>
      </c>
      <c r="O144" s="1132"/>
      <c r="P144" s="1282"/>
      <c r="Q144" s="1089">
        <f t="shared" si="18"/>
        <v>0</v>
      </c>
      <c r="R144" s="1090">
        <f>N144/I144%</f>
        <v>100</v>
      </c>
      <c r="S144" s="1100"/>
      <c r="U144" s="1058"/>
      <c r="V144" s="1057"/>
      <c r="W144" s="1057"/>
      <c r="X144" s="1058"/>
    </row>
    <row r="145" spans="1:24" s="1101" customFormat="1" ht="12.75" customHeight="1">
      <c r="A145" s="1146"/>
      <c r="B145" s="1147"/>
      <c r="C145" s="1226">
        <v>5512</v>
      </c>
      <c r="D145" s="1136"/>
      <c r="E145" s="1211" t="s">
        <v>551</v>
      </c>
      <c r="F145" s="1080">
        <f>'[2]Summary'!E142/15.6466</f>
        <v>19173.49456111871</v>
      </c>
      <c r="G145" s="1080">
        <f>'[2]Summary'!F142/15.6466</f>
        <v>28760.241841678064</v>
      </c>
      <c r="H145" s="1081">
        <f>'[2]Summary'!G142/15.6466</f>
        <v>19173.49456111871</v>
      </c>
      <c r="I145" s="1081">
        <f>'[2]Summary'!H142/15.6466</f>
        <v>19173.49456111871</v>
      </c>
      <c r="J145" s="1082">
        <f>'[2]Summary'!I142/15.6466</f>
        <v>19173.49456111871</v>
      </c>
      <c r="K145" s="1083"/>
      <c r="L145" s="1281">
        <f>J145+K145</f>
        <v>19173.49456111871</v>
      </c>
      <c r="M145" s="1086"/>
      <c r="N145" s="1291">
        <f t="shared" si="31"/>
        <v>19173.49456111871</v>
      </c>
      <c r="O145" s="1132"/>
      <c r="P145" s="1282"/>
      <c r="Q145" s="1089">
        <f t="shared" si="18"/>
        <v>0</v>
      </c>
      <c r="R145" s="1090">
        <f>N145/I145%</f>
        <v>100</v>
      </c>
      <c r="S145" s="1100"/>
      <c r="U145" s="1058"/>
      <c r="V145" s="1057"/>
      <c r="W145" s="1057"/>
      <c r="X145" s="1058"/>
    </row>
    <row r="146" spans="1:24" s="1101" customFormat="1" ht="12.75" customHeight="1" hidden="1">
      <c r="A146" s="1146"/>
      <c r="B146" s="1147"/>
      <c r="C146" s="1226">
        <v>1551</v>
      </c>
      <c r="D146" s="1136"/>
      <c r="E146" s="1211" t="s">
        <v>552</v>
      </c>
      <c r="F146" s="1080">
        <f>'[2]Summary'!E143/15.6466</f>
        <v>0</v>
      </c>
      <c r="G146" s="1080">
        <f>'[2]Summary'!F143/15.6466</f>
        <v>0</v>
      </c>
      <c r="H146" s="1081">
        <f>'[2]Summary'!G143/15.6466</f>
        <v>0</v>
      </c>
      <c r="I146" s="1081">
        <f>'[2]Summary'!H143/15.6466</f>
        <v>0</v>
      </c>
      <c r="J146" s="1082">
        <f>'[2]Summary'!I143/15.6466</f>
        <v>0</v>
      </c>
      <c r="K146" s="1083"/>
      <c r="L146" s="1281"/>
      <c r="M146" s="1086"/>
      <c r="N146" s="1287">
        <f t="shared" si="31"/>
        <v>0</v>
      </c>
      <c r="O146" s="1132"/>
      <c r="P146" s="1282"/>
      <c r="Q146" s="1089">
        <f t="shared" si="18"/>
        <v>0</v>
      </c>
      <c r="R146" s="1090" t="e">
        <f>N146/I146%</f>
        <v>#DIV/0!</v>
      </c>
      <c r="S146" s="1100"/>
      <c r="U146" s="1058"/>
      <c r="V146" s="1057"/>
      <c r="W146" s="1057"/>
      <c r="X146" s="1058"/>
    </row>
    <row r="147" spans="1:24" s="1101" customFormat="1" ht="12.75" customHeight="1">
      <c r="A147" s="1146"/>
      <c r="B147" s="1147"/>
      <c r="C147" s="1226"/>
      <c r="D147" s="1136"/>
      <c r="E147" s="1120" t="s">
        <v>554</v>
      </c>
      <c r="F147" s="1080">
        <f>'[2]Summary'!E144/15.6466</f>
        <v>9586.747280559355</v>
      </c>
      <c r="G147" s="1080">
        <f>'[2]Summary'!F144/15.6466</f>
        <v>140540.4369000294</v>
      </c>
      <c r="H147" s="1081">
        <f>'[2]Summary'!G144/15.6466</f>
        <v>28888.06513875219</v>
      </c>
      <c r="I147" s="1081">
        <f>'[2]Summary'!H144/15.6466</f>
        <v>28888.06513875219</v>
      </c>
      <c r="J147" s="1082">
        <f>'[2]Summary'!I144/15.6466</f>
        <v>43268.18605959122</v>
      </c>
      <c r="K147" s="1096">
        <f>K148+K149</f>
        <v>0</v>
      </c>
      <c r="L147" s="1292">
        <f>L148+L149</f>
        <v>43268.18605959122</v>
      </c>
      <c r="M147" s="1293">
        <f>SUM(M148:M149)</f>
        <v>5320</v>
      </c>
      <c r="N147" s="1287">
        <f t="shared" si="31"/>
        <v>48588.18605959122</v>
      </c>
      <c r="O147" s="1132"/>
      <c r="P147" s="1282"/>
      <c r="Q147" s="1089">
        <f t="shared" si="18"/>
        <v>19301.317858192837</v>
      </c>
      <c r="R147" s="1090">
        <f>N147/I147%</f>
        <v>168.19467079646017</v>
      </c>
      <c r="S147" s="1100"/>
      <c r="U147" s="1058"/>
      <c r="V147" s="1057"/>
      <c r="W147" s="1057"/>
      <c r="X147" s="1058"/>
    </row>
    <row r="148" spans="1:24" s="1101" customFormat="1" ht="12.75" customHeight="1">
      <c r="A148" s="1146"/>
      <c r="B148" s="1147"/>
      <c r="C148" s="1226">
        <v>5512</v>
      </c>
      <c r="D148" s="1136"/>
      <c r="E148" s="1211" t="s">
        <v>551</v>
      </c>
      <c r="F148" s="1080">
        <f>'[2]Summary'!E145/15.6466</f>
        <v>9586.747280559355</v>
      </c>
      <c r="G148" s="1080">
        <f>'[2]Summary'!F145/15.6466</f>
        <v>86537.77817545026</v>
      </c>
      <c r="H148" s="1081">
        <f>'[2]Summary'!G145/15.6466</f>
        <v>3003.8474812419313</v>
      </c>
      <c r="I148" s="1081">
        <f>'[2]Summary'!H145/15.6466</f>
        <v>17748.26479874222</v>
      </c>
      <c r="J148" s="1082">
        <f>'[2]Summary'!I145/15.6466</f>
        <v>43268.18605959122</v>
      </c>
      <c r="K148" s="1083"/>
      <c r="L148" s="1281">
        <f>J148+K148</f>
        <v>43268.18605959122</v>
      </c>
      <c r="M148" s="1086">
        <v>3000</v>
      </c>
      <c r="N148" s="1291">
        <f t="shared" si="31"/>
        <v>46268.18605959122</v>
      </c>
      <c r="O148" s="1132"/>
      <c r="P148" s="1282"/>
      <c r="Q148" s="1089">
        <f t="shared" si="18"/>
        <v>8161.517518182865</v>
      </c>
      <c r="R148" s="1090">
        <f>N148/I148%</f>
        <v>260.6913215700396</v>
      </c>
      <c r="S148" s="1100"/>
      <c r="U148" s="1058"/>
      <c r="V148" s="1057"/>
      <c r="W148" s="1057"/>
      <c r="X148" s="1058"/>
    </row>
    <row r="149" spans="1:24" s="1101" customFormat="1" ht="12.75" customHeight="1">
      <c r="A149" s="1146"/>
      <c r="B149" s="1147"/>
      <c r="C149" s="1226">
        <v>1551</v>
      </c>
      <c r="D149" s="1136"/>
      <c r="E149" s="1211" t="s">
        <v>552</v>
      </c>
      <c r="F149" s="1080">
        <f>'[2]Summary'!E146/15.6466</f>
        <v>0</v>
      </c>
      <c r="G149" s="1080">
        <f>'[2]Summary'!F146/15.6466</f>
        <v>54002.658724579145</v>
      </c>
      <c r="H149" s="1081">
        <f>'[2]Summary'!G146/15.6466</f>
        <v>25884.21765751026</v>
      </c>
      <c r="I149" s="1081">
        <f>'[2]Summary'!H146/15.6466</f>
        <v>11139.800340009971</v>
      </c>
      <c r="J149" s="1082">
        <f>'[2]Summary'!I146/15.6466</f>
        <v>0</v>
      </c>
      <c r="K149" s="1083"/>
      <c r="L149" s="1281">
        <f>J149+K149</f>
        <v>0</v>
      </c>
      <c r="M149" s="1086">
        <v>2320</v>
      </c>
      <c r="N149" s="1291">
        <f t="shared" si="31"/>
        <v>2320</v>
      </c>
      <c r="O149" s="1132"/>
      <c r="P149" s="1282"/>
      <c r="Q149" s="1089">
        <f aca="true" t="shared" si="32" ref="Q149:Q212">I149-F149</f>
        <v>11139.800340009971</v>
      </c>
      <c r="R149" s="1090"/>
      <c r="S149" s="1100"/>
      <c r="U149" s="1058"/>
      <c r="V149" s="1057"/>
      <c r="W149" s="1057"/>
      <c r="X149" s="1058"/>
    </row>
    <row r="150" spans="1:24" s="1101" customFormat="1" ht="12.75" customHeight="1">
      <c r="A150" s="1146"/>
      <c r="B150" s="1147"/>
      <c r="C150" s="1226"/>
      <c r="D150" s="1136"/>
      <c r="E150" s="1120" t="s">
        <v>555</v>
      </c>
      <c r="F150" s="1080">
        <f>'[2]Summary'!E147/15.6466</f>
        <v>3195.5824268531182</v>
      </c>
      <c r="G150" s="1080">
        <f>'[2]Summary'!F147/15.6466</f>
        <v>7037.631178658623</v>
      </c>
      <c r="H150" s="1081">
        <f>'[2]Summary'!G147/15.6466</f>
        <v>3195.5824268531182</v>
      </c>
      <c r="I150" s="1081">
        <f>'[2]Summary'!H147/15.6466</f>
        <v>3195.5824268531182</v>
      </c>
      <c r="J150" s="1082">
        <f>'[2]Summary'!I147/15.6466</f>
        <v>6007.694962483863</v>
      </c>
      <c r="K150" s="1083">
        <f>K151+K152</f>
        <v>0</v>
      </c>
      <c r="L150" s="1294">
        <f>L151+L152</f>
        <v>6007.694962483863</v>
      </c>
      <c r="M150" s="1287">
        <f>M151+M152</f>
        <v>0</v>
      </c>
      <c r="N150" s="1287">
        <f t="shared" si="31"/>
        <v>6007.694962483863</v>
      </c>
      <c r="O150" s="1132"/>
      <c r="P150" s="1282"/>
      <c r="Q150" s="1089">
        <f t="shared" si="32"/>
        <v>0</v>
      </c>
      <c r="R150" s="1090">
        <f>N150/I150%</f>
        <v>188.00000000000003</v>
      </c>
      <c r="S150" s="1100"/>
      <c r="U150" s="1058"/>
      <c r="V150" s="1057"/>
      <c r="W150" s="1057"/>
      <c r="X150" s="1058"/>
    </row>
    <row r="151" spans="1:24" s="1101" customFormat="1" ht="12.75" customHeight="1">
      <c r="A151" s="1146"/>
      <c r="B151" s="1147"/>
      <c r="C151" s="1226">
        <v>5512</v>
      </c>
      <c r="D151" s="1136"/>
      <c r="E151" s="1211" t="s">
        <v>551</v>
      </c>
      <c r="F151" s="1080">
        <f>'[2]Summary'!E148/15.6466</f>
        <v>3195.5824268531182</v>
      </c>
      <c r="G151" s="1080">
        <f>'[2]Summary'!F148/15.6466</f>
        <v>7037.631178658623</v>
      </c>
      <c r="H151" s="1081">
        <f>'[2]Summary'!G148/15.6466</f>
        <v>3195.5824268531182</v>
      </c>
      <c r="I151" s="1081">
        <f>'[2]Summary'!H148/15.6466</f>
        <v>3195.5824268531182</v>
      </c>
      <c r="J151" s="1082">
        <f>'[2]Summary'!I148/15.6466</f>
        <v>6007.694962483863</v>
      </c>
      <c r="K151" s="1083"/>
      <c r="L151" s="1281">
        <f>J151+K151</f>
        <v>6007.694962483863</v>
      </c>
      <c r="M151" s="1086"/>
      <c r="N151" s="1291">
        <f t="shared" si="31"/>
        <v>6007.694962483863</v>
      </c>
      <c r="O151" s="1132"/>
      <c r="P151" s="1282"/>
      <c r="Q151" s="1089">
        <f t="shared" si="32"/>
        <v>0</v>
      </c>
      <c r="R151" s="1090">
        <f>N151/I151%</f>
        <v>188.00000000000003</v>
      </c>
      <c r="S151" s="1100"/>
      <c r="U151" s="1058"/>
      <c r="V151" s="1057"/>
      <c r="W151" s="1057"/>
      <c r="X151" s="1058"/>
    </row>
    <row r="152" spans="1:24" s="1101" customFormat="1" ht="12.75" customHeight="1" hidden="1" thickBot="1">
      <c r="A152" s="1146"/>
      <c r="B152" s="1147"/>
      <c r="C152" s="1226">
        <v>1551</v>
      </c>
      <c r="D152" s="1136"/>
      <c r="E152" s="1211" t="s">
        <v>552</v>
      </c>
      <c r="F152" s="1080">
        <f>'[2]Summary'!E149/15.6466</f>
        <v>0</v>
      </c>
      <c r="G152" s="1080">
        <f>'[2]Summary'!F149/15.6466</f>
        <v>0</v>
      </c>
      <c r="H152" s="1081">
        <f>'[2]Summary'!G149/15.6466</f>
        <v>0</v>
      </c>
      <c r="I152" s="1081">
        <f>'[2]Summary'!H149/15.6466</f>
        <v>0</v>
      </c>
      <c r="J152" s="1082">
        <f>'[2]Summary'!I149/15.6466</f>
        <v>0</v>
      </c>
      <c r="K152" s="1083"/>
      <c r="L152" s="1281">
        <f>J152+K152</f>
        <v>0</v>
      </c>
      <c r="M152" s="1086"/>
      <c r="N152" s="1291">
        <f t="shared" si="31"/>
        <v>0</v>
      </c>
      <c r="O152" s="1132"/>
      <c r="P152" s="1282"/>
      <c r="Q152" s="1089">
        <f t="shared" si="32"/>
        <v>0</v>
      </c>
      <c r="R152" s="1090" t="e">
        <f>N152/I152%</f>
        <v>#DIV/0!</v>
      </c>
      <c r="S152" s="1100"/>
      <c r="U152" s="1058"/>
      <c r="V152" s="1057"/>
      <c r="W152" s="1057"/>
      <c r="X152" s="1058"/>
    </row>
    <row r="153" spans="1:24" s="1101" customFormat="1" ht="12.75" customHeight="1">
      <c r="A153" s="1146"/>
      <c r="B153" s="1147"/>
      <c r="C153" s="1226"/>
      <c r="D153" s="1136"/>
      <c r="E153" s="1120" t="s">
        <v>556</v>
      </c>
      <c r="F153" s="1080">
        <f>'[2]Summary'!E150/15.6466</f>
        <v>3195.5824268531182</v>
      </c>
      <c r="G153" s="1080">
        <f>'[2]Summary'!F150/15.6466</f>
        <v>58098.05325118556</v>
      </c>
      <c r="H153" s="1081">
        <f>'[2]Summary'!G150/15.6466</f>
        <v>15977.912134265593</v>
      </c>
      <c r="I153" s="1081">
        <f>'[2]Summary'!H150/15.6466</f>
        <v>15977.912134265593</v>
      </c>
      <c r="J153" s="1082">
        <f>'[2]Summary'!I150/15.6466</f>
        <v>10545.42200861529</v>
      </c>
      <c r="K153" s="1083">
        <f>K154+K155</f>
        <v>0</v>
      </c>
      <c r="L153" s="1294">
        <f>L154+L155</f>
        <v>10545.42200861529</v>
      </c>
      <c r="M153" s="1293">
        <f>SUM(M154:M155)</f>
        <v>0</v>
      </c>
      <c r="N153" s="1287">
        <f t="shared" si="31"/>
        <v>10545.42200861529</v>
      </c>
      <c r="O153" s="1132"/>
      <c r="P153" s="1282"/>
      <c r="Q153" s="1089">
        <f t="shared" si="32"/>
        <v>12782.329707412475</v>
      </c>
      <c r="R153" s="1090">
        <f>N153/I153%</f>
        <v>66</v>
      </c>
      <c r="S153" s="1100"/>
      <c r="U153" s="1058"/>
      <c r="V153" s="1057"/>
      <c r="W153" s="1057"/>
      <c r="X153" s="1058"/>
    </row>
    <row r="154" spans="1:24" s="1101" customFormat="1" ht="12.75" customHeight="1">
      <c r="A154" s="1146"/>
      <c r="B154" s="1147"/>
      <c r="C154" s="1226">
        <v>5512</v>
      </c>
      <c r="D154" s="1136"/>
      <c r="E154" s="1211" t="s">
        <v>551</v>
      </c>
      <c r="F154" s="1080">
        <f>'[2]Summary'!E151/15.6466</f>
        <v>3195.5824268531182</v>
      </c>
      <c r="G154" s="1080">
        <f>'[2]Summary'!F151/15.6466</f>
        <v>11696.79035701047</v>
      </c>
      <c r="H154" s="1081">
        <f>'[2]Summary'!G151/15.6466</f>
        <v>3195.5824268531182</v>
      </c>
      <c r="I154" s="1081">
        <f>'[2]Summary'!H151/15.6466</f>
        <v>3195.5824268531182</v>
      </c>
      <c r="J154" s="1082">
        <f>'[2]Summary'!I151/15.6466</f>
        <v>10545.42200861529</v>
      </c>
      <c r="K154" s="1083"/>
      <c r="L154" s="1281">
        <f>J154+K154</f>
        <v>10545.42200861529</v>
      </c>
      <c r="M154" s="1086"/>
      <c r="N154" s="1291">
        <f t="shared" si="31"/>
        <v>10545.42200861529</v>
      </c>
      <c r="O154" s="1132"/>
      <c r="P154" s="1282"/>
      <c r="Q154" s="1089">
        <f t="shared" si="32"/>
        <v>0</v>
      </c>
      <c r="R154" s="1090">
        <f>N154/I154%</f>
        <v>330.00000000000006</v>
      </c>
      <c r="S154" s="1100"/>
      <c r="U154" s="1058"/>
      <c r="V154" s="1057"/>
      <c r="W154" s="1057"/>
      <c r="X154" s="1058"/>
    </row>
    <row r="155" spans="1:24" s="1101" customFormat="1" ht="12.75" customHeight="1">
      <c r="A155" s="1146"/>
      <c r="B155" s="1147"/>
      <c r="C155" s="1226">
        <v>1551</v>
      </c>
      <c r="D155" s="1136"/>
      <c r="E155" s="1211" t="s">
        <v>552</v>
      </c>
      <c r="F155" s="1080">
        <f>'[2]Summary'!E152/15.6466</f>
        <v>0</v>
      </c>
      <c r="G155" s="1080">
        <f>'[2]Summary'!F152/15.6466</f>
        <v>46401.262894175095</v>
      </c>
      <c r="H155" s="1081">
        <f>'[2]Summary'!G152/15.6466</f>
        <v>12782.329707412473</v>
      </c>
      <c r="I155" s="1081">
        <f>'[2]Summary'!H152/15.6466</f>
        <v>12782.329707412473</v>
      </c>
      <c r="J155" s="1082">
        <f>'[2]Summary'!I152/15.6466</f>
        <v>0</v>
      </c>
      <c r="K155" s="1083"/>
      <c r="L155" s="1281">
        <f>J155+K155</f>
        <v>0</v>
      </c>
      <c r="M155" s="1086"/>
      <c r="N155" s="1291">
        <f t="shared" si="31"/>
        <v>0</v>
      </c>
      <c r="O155" s="1132"/>
      <c r="P155" s="1282"/>
      <c r="Q155" s="1089">
        <f t="shared" si="32"/>
        <v>12782.329707412473</v>
      </c>
      <c r="R155" s="1090"/>
      <c r="S155" s="1100"/>
      <c r="U155" s="1058"/>
      <c r="V155" s="1057"/>
      <c r="W155" s="1057"/>
      <c r="X155" s="1058"/>
    </row>
    <row r="156" spans="1:24" s="1101" customFormat="1" ht="12.75" customHeight="1">
      <c r="A156" s="1146"/>
      <c r="B156" s="1147"/>
      <c r="C156" s="1226"/>
      <c r="D156" s="1136"/>
      <c r="E156" s="1120" t="s">
        <v>557</v>
      </c>
      <c r="F156" s="1080">
        <f>'[2]Summary'!E153/15.6466</f>
        <v>3195.5824268531182</v>
      </c>
      <c r="G156" s="1080">
        <f>'[2]Summary'!F153/15.6466</f>
        <v>7916.608080988842</v>
      </c>
      <c r="H156" s="1081">
        <f>'[2]Summary'!G153/15.6466</f>
        <v>6391.1648537062365</v>
      </c>
      <c r="I156" s="1081">
        <f>'[2]Summary'!H153/15.6466</f>
        <v>6391.1648537062365</v>
      </c>
      <c r="J156" s="1082">
        <f>'[2]Summary'!I153/15.6466</f>
        <v>8564.160903966358</v>
      </c>
      <c r="K156" s="1083">
        <f>K157+K158</f>
        <v>0</v>
      </c>
      <c r="L156" s="1294">
        <f>L157+L158</f>
        <v>8564.160903966358</v>
      </c>
      <c r="M156" s="1287"/>
      <c r="N156" s="1287">
        <f t="shared" si="31"/>
        <v>8564.160903966358</v>
      </c>
      <c r="O156" s="1132"/>
      <c r="P156" s="1282"/>
      <c r="Q156" s="1089">
        <f t="shared" si="32"/>
        <v>3195.5824268531182</v>
      </c>
      <c r="R156" s="1090">
        <f>N156/I156%</f>
        <v>134.00000000000003</v>
      </c>
      <c r="S156" s="1100"/>
      <c r="U156" s="1058"/>
      <c r="V156" s="1057"/>
      <c r="W156" s="1057"/>
      <c r="X156" s="1058"/>
    </row>
    <row r="157" spans="1:24" s="1101" customFormat="1" ht="12.75" customHeight="1">
      <c r="A157" s="1146"/>
      <c r="B157" s="1147"/>
      <c r="C157" s="1226">
        <v>5512</v>
      </c>
      <c r="D157" s="1136"/>
      <c r="E157" s="1211" t="s">
        <v>551</v>
      </c>
      <c r="F157" s="1080">
        <f>'[2]Summary'!E154/15.6466</f>
        <v>3195.5824268531182</v>
      </c>
      <c r="G157" s="1080">
        <f>'[2]Summary'!F154/15.6466</f>
        <v>5679.700382191659</v>
      </c>
      <c r="H157" s="1081">
        <f>'[2]Summary'!G154/15.6466</f>
        <v>6391.1648537062365</v>
      </c>
      <c r="I157" s="1081">
        <f>'[2]Summary'!H154/15.6466</f>
        <v>6391.1648537062365</v>
      </c>
      <c r="J157" s="1082">
        <f>'[2]Summary'!I154/15.6466</f>
        <v>8564.160903966358</v>
      </c>
      <c r="K157" s="1083"/>
      <c r="L157" s="1281">
        <f aca="true" t="shared" si="33" ref="L157:L162">J157+K157</f>
        <v>8564.160903966358</v>
      </c>
      <c r="M157" s="1086"/>
      <c r="N157" s="1291">
        <f t="shared" si="31"/>
        <v>8564.160903966358</v>
      </c>
      <c r="O157" s="1132"/>
      <c r="P157" s="1282"/>
      <c r="Q157" s="1089">
        <f t="shared" si="32"/>
        <v>3195.5824268531182</v>
      </c>
      <c r="R157" s="1090">
        <f>N157/I157%</f>
        <v>134.00000000000003</v>
      </c>
      <c r="S157" s="1100"/>
      <c r="U157" s="1058"/>
      <c r="V157" s="1057"/>
      <c r="W157" s="1057"/>
      <c r="X157" s="1058"/>
    </row>
    <row r="158" spans="1:24" s="1101" customFormat="1" ht="12.75" customHeight="1">
      <c r="A158" s="1146"/>
      <c r="B158" s="1147"/>
      <c r="C158" s="1226">
        <v>1551</v>
      </c>
      <c r="D158" s="1136"/>
      <c r="E158" s="1211" t="s">
        <v>552</v>
      </c>
      <c r="F158" s="1080">
        <f>'[2]Summary'!E155/15.6466</f>
        <v>0</v>
      </c>
      <c r="G158" s="1080">
        <f>'[2]Summary'!F155/15.6466</f>
        <v>0</v>
      </c>
      <c r="H158" s="1081">
        <f>'[2]Summary'!G155/15.6466</f>
        <v>0</v>
      </c>
      <c r="I158" s="1081">
        <f>'[2]Summary'!H155/15.6466</f>
        <v>0</v>
      </c>
      <c r="J158" s="1082">
        <f>'[2]Summary'!I155/15.6466</f>
        <v>0</v>
      </c>
      <c r="K158" s="1083"/>
      <c r="L158" s="1281">
        <f t="shared" si="33"/>
        <v>0</v>
      </c>
      <c r="M158" s="1086"/>
      <c r="N158" s="1291">
        <f t="shared" si="31"/>
        <v>0</v>
      </c>
      <c r="O158" s="1132"/>
      <c r="P158" s="1282"/>
      <c r="Q158" s="1089"/>
      <c r="R158" s="1090"/>
      <c r="S158" s="1100"/>
      <c r="U158" s="1058"/>
      <c r="V158" s="1057"/>
      <c r="W158" s="1057"/>
      <c r="X158" s="1058"/>
    </row>
    <row r="159" spans="1:24" s="1100" customFormat="1" ht="12.75" customHeight="1">
      <c r="A159" s="1146" t="s">
        <v>558</v>
      </c>
      <c r="B159" s="1147"/>
      <c r="C159" s="1093"/>
      <c r="D159" s="1136"/>
      <c r="E159" s="1211" t="s">
        <v>559</v>
      </c>
      <c r="F159" s="1080">
        <f>'[2]Summary'!E156/15.6466</f>
        <v>240970.12680071068</v>
      </c>
      <c r="G159" s="1080">
        <f>'[2]Summary'!F156/15.6466</f>
        <v>248285.709738857</v>
      </c>
      <c r="H159" s="1081">
        <f>'[2]Summary'!G156/15.6466</f>
        <v>229665.35860825994</v>
      </c>
      <c r="I159" s="1081">
        <f>'[2]Summary'!H156/15.6466</f>
        <v>260598.59650019812</v>
      </c>
      <c r="J159" s="1082">
        <f>'[2]Summary'!I156/15.6466</f>
        <v>211422.06997047283</v>
      </c>
      <c r="K159" s="1096">
        <f>'[4]kunstidekool'!P233</f>
        <v>5800.104</v>
      </c>
      <c r="L159" s="1084">
        <f t="shared" si="33"/>
        <v>217222.17397047282</v>
      </c>
      <c r="M159" s="1293">
        <f>'[4]kunstidekool'!U233</f>
        <v>5799.808</v>
      </c>
      <c r="N159" s="1293">
        <f>'[4]kunstidekool'!V233</f>
        <v>223021.9819704728</v>
      </c>
      <c r="O159" s="1219">
        <f>'[4]kunstidekool'!X233</f>
        <v>5799.808</v>
      </c>
      <c r="P159" s="1295">
        <f>'[4]kunstidekool'!Y233</f>
        <v>0</v>
      </c>
      <c r="Q159" s="1089">
        <f t="shared" si="32"/>
        <v>19628.46969948744</v>
      </c>
      <c r="R159" s="1090">
        <f aca="true" t="shared" si="34" ref="R159:R175">N159/I159%</f>
        <v>85.58065352830988</v>
      </c>
      <c r="U159" s="1058"/>
      <c r="V159" s="1057"/>
      <c r="W159" s="1057"/>
      <c r="X159" s="1058"/>
    </row>
    <row r="160" spans="1:24" s="1101" customFormat="1" ht="12" hidden="1">
      <c r="A160" s="1146" t="s">
        <v>560</v>
      </c>
      <c r="B160" s="1147"/>
      <c r="C160" s="1093"/>
      <c r="D160" s="1136"/>
      <c r="E160" s="1211" t="s">
        <v>561</v>
      </c>
      <c r="F160" s="1080">
        <f>'[2]Summary'!E157/15.6466</f>
        <v>0</v>
      </c>
      <c r="G160" s="1080">
        <f>'[2]Summary'!F157/15.6466</f>
        <v>0</v>
      </c>
      <c r="H160" s="1081">
        <f>'[2]Summary'!G157/15.6466</f>
        <v>0</v>
      </c>
      <c r="I160" s="1081">
        <f>'[2]Summary'!H157/15.6466</f>
        <v>0</v>
      </c>
      <c r="J160" s="1082">
        <f>'[2]Summary'!I157/15.6466</f>
        <v>0</v>
      </c>
      <c r="K160" s="1083"/>
      <c r="L160" s="1281">
        <f t="shared" si="33"/>
        <v>0</v>
      </c>
      <c r="M160" s="1291"/>
      <c r="N160" s="1291">
        <f>L160+M160</f>
        <v>0</v>
      </c>
      <c r="O160" s="1087"/>
      <c r="P160" s="1149">
        <f>N160+O160</f>
        <v>0</v>
      </c>
      <c r="Q160" s="1089">
        <f t="shared" si="32"/>
        <v>0</v>
      </c>
      <c r="R160" s="1090" t="e">
        <f t="shared" si="34"/>
        <v>#DIV/0!</v>
      </c>
      <c r="S160" s="1100"/>
      <c r="U160" s="1058"/>
      <c r="V160" s="1057"/>
      <c r="W160" s="1057"/>
      <c r="X160" s="1058"/>
    </row>
    <row r="161" spans="1:24" s="1101" customFormat="1" ht="12">
      <c r="A161" s="1146" t="s">
        <v>562</v>
      </c>
      <c r="B161" s="1147"/>
      <c r="C161" s="1093"/>
      <c r="D161" s="1136"/>
      <c r="E161" s="1211" t="s">
        <v>563</v>
      </c>
      <c r="F161" s="1080">
        <f>'[2]Summary'!E158/15.6466</f>
        <v>19173.49456111871</v>
      </c>
      <c r="G161" s="1080">
        <f>'[2]Summary'!F158/15.6466</f>
        <v>19173.49456111871</v>
      </c>
      <c r="H161" s="1081">
        <f>'[2]Summary'!G158/15.6466</f>
        <v>23008.193473342453</v>
      </c>
      <c r="I161" s="1081">
        <f>'[2]Summary'!H158/15.6466</f>
        <v>23711.22160725014</v>
      </c>
      <c r="J161" s="1082">
        <f>'[2]Summary'!I158/15.6466</f>
        <v>24158.603147009573</v>
      </c>
      <c r="K161" s="1083"/>
      <c r="L161" s="1294">
        <f t="shared" si="33"/>
        <v>24158.603147009573</v>
      </c>
      <c r="M161" s="1287">
        <v>650</v>
      </c>
      <c r="N161" s="1287">
        <f>L161+M161</f>
        <v>24808.603147009573</v>
      </c>
      <c r="O161" s="1087"/>
      <c r="P161" s="1149">
        <f>N161+O161</f>
        <v>24808.603147009573</v>
      </c>
      <c r="Q161" s="1089">
        <f t="shared" si="32"/>
        <v>4537.727046131429</v>
      </c>
      <c r="R161" s="1090">
        <f t="shared" si="34"/>
        <v>104.62811051212937</v>
      </c>
      <c r="S161" s="1100"/>
      <c r="U161" s="1058"/>
      <c r="V161" s="1057"/>
      <c r="W161" s="1057"/>
      <c r="X161" s="1058"/>
    </row>
    <row r="162" spans="1:24" s="1101" customFormat="1" ht="12" hidden="1">
      <c r="A162" s="1146" t="s">
        <v>564</v>
      </c>
      <c r="B162" s="1147"/>
      <c r="C162" s="1093"/>
      <c r="D162" s="1136"/>
      <c r="E162" s="1211" t="s">
        <v>565</v>
      </c>
      <c r="F162" s="1080">
        <f>'[2]Summary'!E159/15.6466</f>
        <v>0</v>
      </c>
      <c r="G162" s="1080">
        <f>'[2]Summary'!F159/15.6466</f>
        <v>0</v>
      </c>
      <c r="H162" s="1081">
        <f>'[2]Summary'!G159/15.6466</f>
        <v>0</v>
      </c>
      <c r="I162" s="1081">
        <f>'[2]Summary'!H159/15.6466</f>
        <v>0</v>
      </c>
      <c r="J162" s="1082">
        <f>'[2]Summary'!I159/15.6466</f>
        <v>0</v>
      </c>
      <c r="K162" s="1083"/>
      <c r="L162" s="1296">
        <f t="shared" si="33"/>
        <v>0</v>
      </c>
      <c r="M162" s="1285"/>
      <c r="N162" s="1291">
        <f>L162+M162</f>
        <v>0</v>
      </c>
      <c r="O162" s="1087"/>
      <c r="P162" s="1149">
        <f>N162+O162</f>
        <v>0</v>
      </c>
      <c r="Q162" s="1089">
        <f t="shared" si="32"/>
        <v>0</v>
      </c>
      <c r="R162" s="1090" t="e">
        <f t="shared" si="34"/>
        <v>#DIV/0!</v>
      </c>
      <c r="S162" s="1100"/>
      <c r="U162" s="1058"/>
      <c r="V162" s="1057"/>
      <c r="W162" s="1057"/>
      <c r="X162" s="1058"/>
    </row>
    <row r="163" spans="1:24" s="1101" customFormat="1" ht="12">
      <c r="A163" s="1146" t="s">
        <v>566</v>
      </c>
      <c r="B163" s="1147"/>
      <c r="C163" s="1093"/>
      <c r="D163" s="1136"/>
      <c r="E163" s="1079" t="s">
        <v>567</v>
      </c>
      <c r="F163" s="1080">
        <f>'[2]Summary'!E160/15.6466</f>
        <v>204517.27531859957</v>
      </c>
      <c r="G163" s="1080">
        <f>'[2]Summary'!F160/15.6466</f>
        <v>194387.15120217812</v>
      </c>
      <c r="H163" s="1081">
        <f>'[2]Summary'!G160/15.6466</f>
        <v>182020.37503355363</v>
      </c>
      <c r="I163" s="1081">
        <f>'[2]Summary'!H160/15.6466</f>
        <v>182020.37503355363</v>
      </c>
      <c r="J163" s="1082">
        <f>'[2]Summary'!I160/15.6466</f>
        <v>150064.55076502243</v>
      </c>
      <c r="K163" s="1252">
        <f>'[4]vabaaeg'!K232</f>
        <v>0</v>
      </c>
      <c r="L163" s="1112">
        <f>'[4]vabaaeg'!L232</f>
        <v>150064.55076502243</v>
      </c>
      <c r="M163" s="1290">
        <f>'[4]vabaaeg'!O232</f>
        <v>0</v>
      </c>
      <c r="N163" s="1293">
        <f>'[4]vabaaeg'!P232</f>
        <v>150064.55076502243</v>
      </c>
      <c r="O163" s="1219">
        <f>'[4]vabaaeg'!S232</f>
        <v>0</v>
      </c>
      <c r="P163" s="1295">
        <f>'[4]vabaaeg'!T232</f>
        <v>0</v>
      </c>
      <c r="Q163" s="1089">
        <f t="shared" si="32"/>
        <v>-22496.900285045936</v>
      </c>
      <c r="R163" s="1090">
        <f t="shared" si="34"/>
        <v>82.44382022471909</v>
      </c>
      <c r="S163" s="1100"/>
      <c r="U163" s="1058"/>
      <c r="V163" s="1057"/>
      <c r="W163" s="1057"/>
      <c r="X163" s="1058"/>
    </row>
    <row r="164" spans="1:24" s="1111" customFormat="1" ht="12">
      <c r="A164" s="1102" t="s">
        <v>568</v>
      </c>
      <c r="B164" s="1103"/>
      <c r="C164" s="1125"/>
      <c r="D164" s="1105"/>
      <c r="E164" s="1120" t="s">
        <v>569</v>
      </c>
      <c r="F164" s="1080">
        <f>'[2]Summary'!E161/15.6466</f>
        <v>508631.82915138116</v>
      </c>
      <c r="G164" s="1080">
        <f>'[2]Summary'!F161/15.6466</f>
        <v>628392.6220392929</v>
      </c>
      <c r="H164" s="1081">
        <f>'[2]Summary'!G161/15.6466</f>
        <v>477067.5427249371</v>
      </c>
      <c r="I164" s="1081">
        <f>'[2]Summary'!H161/15.6466</f>
        <v>465600.39254534536</v>
      </c>
      <c r="J164" s="1082">
        <f>'[2]Summary'!I161/15.6466</f>
        <v>381277.77280687186</v>
      </c>
      <c r="K164" s="1252">
        <f>K165+K166+K174</f>
        <v>41869.112</v>
      </c>
      <c r="L164" s="1112">
        <f>L165+L166+L174+1</f>
        <v>423147.8848068718</v>
      </c>
      <c r="M164" s="1290">
        <f>M165+M166+M174</f>
        <v>56323.520000000004</v>
      </c>
      <c r="N164" s="1293">
        <f>N165+N166+N174</f>
        <v>479470.4048068718</v>
      </c>
      <c r="O164" s="1115">
        <f>O165+O166+O174</f>
        <v>0</v>
      </c>
      <c r="P164" s="1116">
        <f>P165+P166+P174</f>
        <v>180520.65465979828</v>
      </c>
      <c r="Q164" s="1089">
        <f t="shared" si="32"/>
        <v>-43031.4366060358</v>
      </c>
      <c r="R164" s="1090">
        <f t="shared" si="34"/>
        <v>102.97895201198217</v>
      </c>
      <c r="U164" s="1058"/>
      <c r="V164" s="1057"/>
      <c r="W164" s="1057"/>
      <c r="X164" s="1058"/>
    </row>
    <row r="165" spans="1:24" s="1101" customFormat="1" ht="12">
      <c r="A165" s="1146" t="s">
        <v>570</v>
      </c>
      <c r="B165" s="1147"/>
      <c r="C165" s="1093"/>
      <c r="D165" s="1136"/>
      <c r="E165" s="1211" t="s">
        <v>571</v>
      </c>
      <c r="F165" s="1080">
        <f>'[2]Summary'!E162/15.6466</f>
        <v>121829.33940920072</v>
      </c>
      <c r="G165" s="1080">
        <f>'[2]Summary'!F162/15.6466</f>
        <v>139331.03306788695</v>
      </c>
      <c r="H165" s="1081">
        <f>'[2]Summary'!G162/15.6466</f>
        <v>123868.9826543786</v>
      </c>
      <c r="I165" s="1081">
        <f>'[2]Summary'!H162/15.6466</f>
        <v>123868.9826543786</v>
      </c>
      <c r="J165" s="1082">
        <f>'[2]Summary'!I162/15.6466</f>
        <v>102485.2428003528</v>
      </c>
      <c r="K165" s="1217">
        <f>'[4]raamatukogu'!L228</f>
        <v>17405.968</v>
      </c>
      <c r="L165" s="1218">
        <f>'[4]raamatukogu'!M228</f>
        <v>119891.2108003528</v>
      </c>
      <c r="M165" s="1297">
        <f>'[4]raamatukogu'!T228</f>
        <v>2600</v>
      </c>
      <c r="N165" s="1298">
        <f>'[4]raamatukogu'!U228</f>
        <v>122491.2108003528</v>
      </c>
      <c r="O165" s="1219">
        <f>'[4]raamatukogu'!X228</f>
        <v>0</v>
      </c>
      <c r="P165" s="1295">
        <f>'[4]raamatukogu'!Y228</f>
        <v>37155.538736850176</v>
      </c>
      <c r="Q165" s="1089">
        <f t="shared" si="32"/>
        <v>2039.643245177882</v>
      </c>
      <c r="R165" s="1090">
        <f t="shared" si="34"/>
        <v>98.88771843886852</v>
      </c>
      <c r="S165" s="1100"/>
      <c r="U165" s="1058"/>
      <c r="V165" s="1057"/>
      <c r="W165" s="1057"/>
      <c r="X165" s="1058"/>
    </row>
    <row r="166" spans="1:24" s="1101" customFormat="1" ht="12">
      <c r="A166" s="1146" t="s">
        <v>572</v>
      </c>
      <c r="B166" s="1147"/>
      <c r="C166" s="1093"/>
      <c r="D166" s="1136"/>
      <c r="E166" s="1211" t="s">
        <v>573</v>
      </c>
      <c r="F166" s="1080">
        <f>'[2]Summary'!E163/15.6466</f>
        <v>195067.48021934478</v>
      </c>
      <c r="G166" s="1080">
        <f>'[2]Summary'!F163/15.6466</f>
        <v>228500.36659721602</v>
      </c>
      <c r="H166" s="1081">
        <f>'[2]Summary'!G163/15.6466</f>
        <v>174245.94416678383</v>
      </c>
      <c r="I166" s="1081">
        <f>'[2]Summary'!H163/15.6466</f>
        <v>162778.73007554357</v>
      </c>
      <c r="J166" s="1082">
        <f>'[2]Summary'!I163/15.6466</f>
        <v>150969.23293239428</v>
      </c>
      <c r="K166" s="1217">
        <f>'[4]rahvamaja'!Y229</f>
        <v>2286.1440000000002</v>
      </c>
      <c r="L166" s="1084">
        <f>J166+K166</f>
        <v>153255.37693239428</v>
      </c>
      <c r="M166" s="1297">
        <f>'[4]rahvamaja'!AG229</f>
        <v>3723.52</v>
      </c>
      <c r="N166" s="1298">
        <f>'[4]rahvamaja'!AH229</f>
        <v>156978.89693239424</v>
      </c>
      <c r="O166" s="1219">
        <f>'[4]rahvamaja'!AN229</f>
        <v>0</v>
      </c>
      <c r="P166" s="1295">
        <f>'[4]rahvamaja'!AO229</f>
        <v>62018.11592294811</v>
      </c>
      <c r="Q166" s="1089">
        <f t="shared" si="32"/>
        <v>-32288.75014380121</v>
      </c>
      <c r="R166" s="1090">
        <f t="shared" si="34"/>
        <v>96.436983418867</v>
      </c>
      <c r="S166" s="1100"/>
      <c r="U166" s="1058"/>
      <c r="V166" s="1057"/>
      <c r="W166" s="1057"/>
      <c r="X166" s="1058"/>
    </row>
    <row r="167" spans="1:24" s="1101" customFormat="1" ht="12" hidden="1">
      <c r="A167" s="1146" t="s">
        <v>574</v>
      </c>
      <c r="B167" s="1147"/>
      <c r="C167" s="1093"/>
      <c r="D167" s="1136"/>
      <c r="E167" s="1211" t="s">
        <v>575</v>
      </c>
      <c r="F167" s="1080">
        <f>'[2]Summary'!E164/15.6466</f>
        <v>0</v>
      </c>
      <c r="G167" s="1080">
        <f>'[2]Summary'!F164/15.6466</f>
        <v>0</v>
      </c>
      <c r="H167" s="1081">
        <f>'[2]Summary'!G164/15.6466</f>
        <v>0</v>
      </c>
      <c r="I167" s="1081">
        <f>'[2]Summary'!H164/15.6466</f>
        <v>0</v>
      </c>
      <c r="J167" s="1082">
        <f>'[2]Summary'!I164/15.6466</f>
        <v>0</v>
      </c>
      <c r="K167" s="1083"/>
      <c r="L167" s="1084">
        <f>J167+K167</f>
        <v>0</v>
      </c>
      <c r="M167" s="1285"/>
      <c r="N167" s="1291">
        <f>L167+M167</f>
        <v>0</v>
      </c>
      <c r="O167" s="1087"/>
      <c r="P167" s="1149">
        <f>N167+O167</f>
        <v>0</v>
      </c>
      <c r="Q167" s="1089">
        <f t="shared" si="32"/>
        <v>0</v>
      </c>
      <c r="R167" s="1090" t="e">
        <f t="shared" si="34"/>
        <v>#DIV/0!</v>
      </c>
      <c r="S167" s="1100"/>
      <c r="U167" s="1058"/>
      <c r="V167" s="1057"/>
      <c r="W167" s="1057"/>
      <c r="X167" s="1058"/>
    </row>
    <row r="168" spans="1:24" s="1101" customFormat="1" ht="12" hidden="1">
      <c r="A168" s="1146" t="s">
        <v>576</v>
      </c>
      <c r="B168" s="1147"/>
      <c r="C168" s="1093"/>
      <c r="D168" s="1136"/>
      <c r="E168" s="1211" t="s">
        <v>577</v>
      </c>
      <c r="F168" s="1080">
        <f>'[2]Summary'!E165/15.6466</f>
        <v>0</v>
      </c>
      <c r="G168" s="1080">
        <f>'[2]Summary'!F165/15.6466</f>
        <v>0</v>
      </c>
      <c r="H168" s="1081">
        <f>'[2]Summary'!G165/15.6466</f>
        <v>0</v>
      </c>
      <c r="I168" s="1081">
        <f>'[2]Summary'!H165/15.6466</f>
        <v>0</v>
      </c>
      <c r="J168" s="1082">
        <f>'[2]Summary'!I165/15.6466</f>
        <v>0</v>
      </c>
      <c r="K168" s="1083"/>
      <c r="L168" s="1084">
        <f>J168+K168</f>
        <v>0</v>
      </c>
      <c r="M168" s="1285"/>
      <c r="N168" s="1291">
        <f>L168+M168</f>
        <v>0</v>
      </c>
      <c r="O168" s="1087"/>
      <c r="P168" s="1149">
        <f>N168+O168</f>
        <v>0</v>
      </c>
      <c r="Q168" s="1089">
        <f t="shared" si="32"/>
        <v>0</v>
      </c>
      <c r="R168" s="1090" t="e">
        <f t="shared" si="34"/>
        <v>#DIV/0!</v>
      </c>
      <c r="S168" s="1100"/>
      <c r="U168" s="1058"/>
      <c r="V168" s="1057"/>
      <c r="W168" s="1057"/>
      <c r="X168" s="1058"/>
    </row>
    <row r="169" spans="1:24" s="1101" customFormat="1" ht="12" hidden="1">
      <c r="A169" s="1146" t="s">
        <v>578</v>
      </c>
      <c r="B169" s="1147"/>
      <c r="C169" s="1093"/>
      <c r="D169" s="1136"/>
      <c r="E169" s="1211" t="s">
        <v>579</v>
      </c>
      <c r="F169" s="1080">
        <f>'[2]Summary'!E166/15.6466</f>
        <v>0</v>
      </c>
      <c r="G169" s="1080">
        <f>'[2]Summary'!F166/15.6466</f>
        <v>0</v>
      </c>
      <c r="H169" s="1081">
        <f>'[2]Summary'!G166/15.6466</f>
        <v>0</v>
      </c>
      <c r="I169" s="1081">
        <f>'[2]Summary'!H166/15.6466</f>
        <v>0</v>
      </c>
      <c r="J169" s="1082">
        <f>'[2]Summary'!I166/15.6466</f>
        <v>0</v>
      </c>
      <c r="K169" s="1083"/>
      <c r="L169" s="1084">
        <f>J169+K169</f>
        <v>0</v>
      </c>
      <c r="M169" s="1285"/>
      <c r="N169" s="1291">
        <f>L169+M169</f>
        <v>0</v>
      </c>
      <c r="O169" s="1087"/>
      <c r="P169" s="1149">
        <f>N169+O169</f>
        <v>0</v>
      </c>
      <c r="Q169" s="1089">
        <f t="shared" si="32"/>
        <v>0</v>
      </c>
      <c r="R169" s="1090" t="e">
        <f t="shared" si="34"/>
        <v>#DIV/0!</v>
      </c>
      <c r="S169" s="1100"/>
      <c r="U169" s="1058"/>
      <c r="V169" s="1057"/>
      <c r="W169" s="1057"/>
      <c r="X169" s="1058"/>
    </row>
    <row r="170" spans="1:24" s="1101" customFormat="1" ht="12" hidden="1">
      <c r="A170" s="1146" t="s">
        <v>580</v>
      </c>
      <c r="B170" s="1147"/>
      <c r="C170" s="1093"/>
      <c r="D170" s="1136"/>
      <c r="E170" s="1211" t="s">
        <v>581</v>
      </c>
      <c r="F170" s="1080">
        <f>'[2]Summary'!E167/15.6466</f>
        <v>0</v>
      </c>
      <c r="G170" s="1080">
        <f>'[2]Summary'!F167/15.6466</f>
        <v>0</v>
      </c>
      <c r="H170" s="1081">
        <f>'[2]Summary'!G167/15.6466</f>
        <v>0</v>
      </c>
      <c r="I170" s="1081">
        <f>'[2]Summary'!H167/15.6466</f>
        <v>0</v>
      </c>
      <c r="J170" s="1082">
        <f>'[2]Summary'!I167/15.6466</f>
        <v>0</v>
      </c>
      <c r="K170" s="1083"/>
      <c r="L170" s="1084">
        <f>J170+K170</f>
        <v>0</v>
      </c>
      <c r="M170" s="1285"/>
      <c r="N170" s="1291">
        <f>L170+M170</f>
        <v>0</v>
      </c>
      <c r="O170" s="1087"/>
      <c r="P170" s="1149">
        <f>N170+O170</f>
        <v>0</v>
      </c>
      <c r="Q170" s="1089">
        <f t="shared" si="32"/>
        <v>0</v>
      </c>
      <c r="R170" s="1090" t="e">
        <f t="shared" si="34"/>
        <v>#DIV/0!</v>
      </c>
      <c r="S170" s="1100"/>
      <c r="U170" s="1058"/>
      <c r="V170" s="1057"/>
      <c r="W170" s="1057"/>
      <c r="X170" s="1058"/>
    </row>
    <row r="171" spans="1:24" s="1101" customFormat="1" ht="12" hidden="1">
      <c r="A171" s="1146" t="s">
        <v>582</v>
      </c>
      <c r="B171" s="1147"/>
      <c r="C171" s="1093"/>
      <c r="D171" s="1136"/>
      <c r="E171" s="1211" t="s">
        <v>583</v>
      </c>
      <c r="F171" s="1080">
        <f>'[2]Summary'!E168/15.6466</f>
        <v>0</v>
      </c>
      <c r="G171" s="1080">
        <f>'[2]Summary'!F168/15.6466</f>
        <v>0</v>
      </c>
      <c r="H171" s="1081">
        <f>'[2]Summary'!G168/15.6466</f>
        <v>0</v>
      </c>
      <c r="I171" s="1081">
        <f>'[2]Summary'!H168/15.6466</f>
        <v>0</v>
      </c>
      <c r="J171" s="1082">
        <f>'[2]Summary'!I168/15.6466</f>
        <v>0</v>
      </c>
      <c r="K171" s="1083"/>
      <c r="L171" s="1084"/>
      <c r="M171" s="1285"/>
      <c r="N171" s="1291"/>
      <c r="O171" s="1087"/>
      <c r="P171" s="1149"/>
      <c r="Q171" s="1089">
        <f t="shared" si="32"/>
        <v>0</v>
      </c>
      <c r="R171" s="1090" t="e">
        <f t="shared" si="34"/>
        <v>#DIV/0!</v>
      </c>
      <c r="S171" s="1100"/>
      <c r="U171" s="1058"/>
      <c r="V171" s="1057"/>
      <c r="W171" s="1057"/>
      <c r="X171" s="1058"/>
    </row>
    <row r="172" spans="1:24" s="1101" customFormat="1" ht="12" hidden="1">
      <c r="A172" s="1146" t="s">
        <v>584</v>
      </c>
      <c r="B172" s="1147"/>
      <c r="C172" s="1093"/>
      <c r="D172" s="1136"/>
      <c r="E172" s="1211" t="s">
        <v>585</v>
      </c>
      <c r="F172" s="1080">
        <f>'[2]Summary'!E169/15.6466</f>
        <v>0</v>
      </c>
      <c r="G172" s="1080">
        <f>'[2]Summary'!F169/15.6466</f>
        <v>0</v>
      </c>
      <c r="H172" s="1081">
        <f>'[2]Summary'!G169/15.6466</f>
        <v>0</v>
      </c>
      <c r="I172" s="1081">
        <f>'[2]Summary'!H169/15.6466</f>
        <v>0</v>
      </c>
      <c r="J172" s="1082">
        <f>'[2]Summary'!I169/15.6466</f>
        <v>0</v>
      </c>
      <c r="K172" s="1083"/>
      <c r="L172" s="1084"/>
      <c r="M172" s="1285"/>
      <c r="N172" s="1291"/>
      <c r="O172" s="1087"/>
      <c r="P172" s="1149"/>
      <c r="Q172" s="1089">
        <f t="shared" si="32"/>
        <v>0</v>
      </c>
      <c r="R172" s="1090" t="e">
        <f t="shared" si="34"/>
        <v>#DIV/0!</v>
      </c>
      <c r="S172" s="1100"/>
      <c r="U172" s="1058"/>
      <c r="V172" s="1057"/>
      <c r="W172" s="1057"/>
      <c r="X172" s="1058"/>
    </row>
    <row r="173" spans="1:24" s="1101" customFormat="1" ht="12" hidden="1">
      <c r="A173" s="1146" t="s">
        <v>586</v>
      </c>
      <c r="B173" s="1147"/>
      <c r="C173" s="1093"/>
      <c r="D173" s="1136"/>
      <c r="E173" s="1211" t="s">
        <v>587</v>
      </c>
      <c r="F173" s="1080">
        <f>'[2]Summary'!E170/15.6466</f>
        <v>0</v>
      </c>
      <c r="G173" s="1080">
        <f>'[2]Summary'!F170/15.6466</f>
        <v>0</v>
      </c>
      <c r="H173" s="1081">
        <f>'[2]Summary'!G170/15.6466</f>
        <v>0</v>
      </c>
      <c r="I173" s="1081">
        <f>'[2]Summary'!H170/15.6466</f>
        <v>0</v>
      </c>
      <c r="J173" s="1082">
        <f>'[2]Summary'!I170/15.6466</f>
        <v>0</v>
      </c>
      <c r="K173" s="1083"/>
      <c r="L173" s="1084"/>
      <c r="M173" s="1285"/>
      <c r="N173" s="1291"/>
      <c r="O173" s="1087"/>
      <c r="P173" s="1149"/>
      <c r="Q173" s="1089">
        <f t="shared" si="32"/>
        <v>0</v>
      </c>
      <c r="R173" s="1090" t="e">
        <f t="shared" si="34"/>
        <v>#DIV/0!</v>
      </c>
      <c r="S173" s="1100"/>
      <c r="U173" s="1058"/>
      <c r="V173" s="1057"/>
      <c r="W173" s="1057"/>
      <c r="X173" s="1058"/>
    </row>
    <row r="174" spans="1:24" s="1306" customFormat="1" ht="12">
      <c r="A174" s="1299" t="s">
        <v>588</v>
      </c>
      <c r="B174" s="1300"/>
      <c r="C174" s="1301"/>
      <c r="D174" s="1302"/>
      <c r="E174" s="1211" t="s">
        <v>589</v>
      </c>
      <c r="F174" s="1080">
        <f>'[2]Summary'!E171/15.6466</f>
        <v>191734.9456111871</v>
      </c>
      <c r="G174" s="1080">
        <f>'[2]Summary'!F171/15.6466</f>
        <v>260510.0788669743</v>
      </c>
      <c r="H174" s="1081">
        <f>'[2]Summary'!G171/15.6466</f>
        <v>178952.61590377463</v>
      </c>
      <c r="I174" s="1081">
        <f>'[2]Summary'!H171/15.6466</f>
        <v>178952.61590377463</v>
      </c>
      <c r="J174" s="1082">
        <f>'[2]Summary'!I171/15.6466</f>
        <v>127823.29707412474</v>
      </c>
      <c r="K174" s="1217">
        <f>'[4]Linnakultuur'!L228</f>
        <v>22177</v>
      </c>
      <c r="L174" s="1218">
        <f>'[4]Linnakultuur'!M228</f>
        <v>150000.29707412474</v>
      </c>
      <c r="M174" s="1297">
        <f>'[4]Linnakultuur'!P228</f>
        <v>50000</v>
      </c>
      <c r="N174" s="1298">
        <f>'[4]Linnakultuur'!Q228</f>
        <v>200000.29707412474</v>
      </c>
      <c r="O174" s="1303">
        <f>'[4]Linnakultuur'!S228</f>
        <v>0</v>
      </c>
      <c r="P174" s="1304">
        <f>'[4]Linnakultuur'!T228</f>
        <v>81347</v>
      </c>
      <c r="Q174" s="1089">
        <f t="shared" si="32"/>
        <v>-12782.329707412486</v>
      </c>
      <c r="R174" s="1090">
        <f t="shared" si="34"/>
        <v>111.76159457857143</v>
      </c>
      <c r="S174" s="1305"/>
      <c r="U174" s="1058"/>
      <c r="V174" s="1057"/>
      <c r="W174" s="1057"/>
      <c r="X174" s="1058"/>
    </row>
    <row r="175" spans="1:24" s="1101" customFormat="1" ht="11.25">
      <c r="A175" s="1146" t="s">
        <v>590</v>
      </c>
      <c r="B175" s="1147"/>
      <c r="C175" s="1093"/>
      <c r="D175" s="1136"/>
      <c r="E175" s="1120" t="s">
        <v>591</v>
      </c>
      <c r="F175" s="1080">
        <f>'[2]Summary'!E172/15.6466</f>
        <v>83085.14309818108</v>
      </c>
      <c r="G175" s="1080">
        <f>'[2]Summary'!F172/15.6466</f>
        <v>94718.72483478839</v>
      </c>
      <c r="H175" s="1081">
        <f>'[2]Summary'!G172/15.6466</f>
        <v>73498.39581762173</v>
      </c>
      <c r="I175" s="1157">
        <f>I176+I177+I178</f>
        <v>95867.44724093414</v>
      </c>
      <c r="J175" s="1081">
        <f>J176+J177+J178</f>
        <v>63911.62297240295</v>
      </c>
      <c r="K175" s="1155">
        <f>K176+K177+K178</f>
        <v>13049.152</v>
      </c>
      <c r="L175" s="1107">
        <f>L176+L177+L178</f>
        <v>76960.77497240296</v>
      </c>
      <c r="M175" s="1154">
        <f>M176+M177</f>
        <v>26100</v>
      </c>
      <c r="N175" s="1154">
        <f>N176+N177+N178</f>
        <v>103060.77497240296</v>
      </c>
      <c r="O175" s="1158" t="e">
        <f>O176+O177</f>
        <v>#REF!</v>
      </c>
      <c r="P175" s="1237" t="e">
        <f>P176+P177</f>
        <v>#REF!</v>
      </c>
      <c r="Q175" s="1089">
        <f t="shared" si="32"/>
        <v>12782.304142753055</v>
      </c>
      <c r="R175" s="1090">
        <f t="shared" si="34"/>
        <v>107.5034101131227</v>
      </c>
      <c r="S175" s="1100"/>
      <c r="U175" s="1058"/>
      <c r="V175" s="1057"/>
      <c r="W175" s="1057"/>
      <c r="X175" s="1058"/>
    </row>
    <row r="176" spans="1:24" s="1312" customFormat="1" ht="12" hidden="1">
      <c r="A176" s="1307" t="s">
        <v>592</v>
      </c>
      <c r="B176" s="1308"/>
      <c r="C176" s="1309"/>
      <c r="D176" s="1310"/>
      <c r="E176" s="1211" t="s">
        <v>593</v>
      </c>
      <c r="F176" s="1080">
        <f>'[2]Summary'!E173/15.6466</f>
        <v>0</v>
      </c>
      <c r="G176" s="1080">
        <f>'[2]Summary'!F173/15.6466</f>
        <v>0</v>
      </c>
      <c r="H176" s="1081">
        <f>'[2]Summary'!G173/15.6466</f>
        <v>0</v>
      </c>
      <c r="I176" s="1081">
        <f>'[2]Summary'!H173/15.6466</f>
        <v>0</v>
      </c>
      <c r="J176" s="1082">
        <f>'[2]Summary'!I173/15.6466</f>
        <v>0</v>
      </c>
      <c r="K176" s="1217">
        <v>0</v>
      </c>
      <c r="L176" s="1218">
        <v>0</v>
      </c>
      <c r="M176" s="1297"/>
      <c r="N176" s="1298"/>
      <c r="O176" s="1219" t="e">
        <f>#REF!</f>
        <v>#REF!</v>
      </c>
      <c r="P176" s="1295" t="e">
        <f>#REF!</f>
        <v>#REF!</v>
      </c>
      <c r="Q176" s="1089">
        <f t="shared" si="32"/>
        <v>0</v>
      </c>
      <c r="R176" s="1090"/>
      <c r="S176" s="1311"/>
      <c r="U176" s="1058"/>
      <c r="V176" s="1057"/>
      <c r="W176" s="1057"/>
      <c r="X176" s="1058"/>
    </row>
    <row r="177" spans="1:24" s="1101" customFormat="1" ht="12">
      <c r="A177" s="1137" t="s">
        <v>594</v>
      </c>
      <c r="B177" s="1138"/>
      <c r="C177" s="1093"/>
      <c r="D177" s="1136"/>
      <c r="E177" s="1120" t="s">
        <v>595</v>
      </c>
      <c r="F177" s="1080">
        <f>'[2]Summary'!E174/15.6466</f>
        <v>83085.14309818108</v>
      </c>
      <c r="G177" s="1080">
        <f>'[2]Summary'!F174/15.6466</f>
        <v>94718.72483478839</v>
      </c>
      <c r="H177" s="1081">
        <f>'[2]Summary'!G174/15.6466</f>
        <v>73498.39581762173</v>
      </c>
      <c r="I177" s="1081">
        <f>'[2]Summary'!H174/15.6466</f>
        <v>75380.21039714699</v>
      </c>
      <c r="J177" s="1082">
        <f>'[2]Summary'!I174/15.6466</f>
        <v>29840.98781843979</v>
      </c>
      <c r="K177" s="1217"/>
      <c r="L177" s="1281">
        <f>J177+K177</f>
        <v>29840.98781843979</v>
      </c>
      <c r="M177" s="1297">
        <f>'[4]TV ja ajaleht'!Q228</f>
        <v>26100</v>
      </c>
      <c r="N177" s="1089">
        <f>L177+M177</f>
        <v>55940.98781843979</v>
      </c>
      <c r="O177" s="1219">
        <f>'[4]TV ja ajaleht'!U228</f>
        <v>0</v>
      </c>
      <c r="P177" s="1295">
        <f>'[4]TV ja ajaleht'!V228</f>
        <v>103060.80053706237</v>
      </c>
      <c r="Q177" s="1089">
        <f t="shared" si="32"/>
        <v>-7704.932701034093</v>
      </c>
      <c r="R177" s="1090">
        <f>N177/I177%</f>
        <v>74.21176927433604</v>
      </c>
      <c r="S177" s="1100"/>
      <c r="U177" s="1058"/>
      <c r="V177" s="1057"/>
      <c r="W177" s="1057"/>
      <c r="X177" s="1058"/>
    </row>
    <row r="178" spans="1:24" s="1101" customFormat="1" ht="12">
      <c r="A178" s="1146" t="s">
        <v>596</v>
      </c>
      <c r="B178" s="1147"/>
      <c r="C178" s="1104"/>
      <c r="D178" s="1105"/>
      <c r="E178" s="1079" t="s">
        <v>597</v>
      </c>
      <c r="F178" s="1080">
        <f>'[2]Summary'!E93/15.6466</f>
        <v>0</v>
      </c>
      <c r="G178" s="1080">
        <f>'[2]Summary'!F93/15.6466</f>
        <v>0</v>
      </c>
      <c r="H178" s="1081">
        <f>'[2]Summary'!G93/15.6466</f>
        <v>0</v>
      </c>
      <c r="I178" s="1081">
        <f>'[2]Summary'!H93/15.6466</f>
        <v>20487.23684378715</v>
      </c>
      <c r="J178" s="1082">
        <f>'[4]buroo'!K442</f>
        <v>34070.63515396316</v>
      </c>
      <c r="K178" s="1128">
        <f>'[4]buroo'!N442</f>
        <v>13049.152</v>
      </c>
      <c r="L178" s="1084">
        <f>J178+K178</f>
        <v>47119.78715396316</v>
      </c>
      <c r="M178" s="1313">
        <f>'[4]buroo'!R442</f>
        <v>0</v>
      </c>
      <c r="N178" s="1285">
        <f>L178+M178</f>
        <v>47119.78715396316</v>
      </c>
      <c r="O178" s="1158"/>
      <c r="P178" s="1159"/>
      <c r="Q178" s="1089" t="e">
        <f>#REF!-#REF!</f>
        <v>#REF!</v>
      </c>
      <c r="R178" s="1090"/>
      <c r="S178" s="1100"/>
      <c r="U178" s="1058"/>
      <c r="V178" s="1057"/>
      <c r="W178" s="1057"/>
      <c r="X178" s="1058"/>
    </row>
    <row r="179" spans="1:24" s="1121" customFormat="1" ht="12" hidden="1">
      <c r="A179" s="1102" t="s">
        <v>598</v>
      </c>
      <c r="B179" s="1103"/>
      <c r="C179" s="1104"/>
      <c r="D179" s="1105"/>
      <c r="E179" s="1120" t="s">
        <v>599</v>
      </c>
      <c r="F179" s="1080">
        <f>'[2]Summary'!E176/15.6466</f>
        <v>0</v>
      </c>
      <c r="G179" s="1080">
        <f>'[2]Summary'!F176/15.6466</f>
        <v>0</v>
      </c>
      <c r="H179" s="1081">
        <f>'[2]Summary'!G176/15.6466</f>
        <v>0</v>
      </c>
      <c r="I179" s="1081">
        <f>'[2]Summary'!H176/15.6466</f>
        <v>0</v>
      </c>
      <c r="J179" s="1082">
        <f>'[2]Summary'!I176/15.6466</f>
        <v>0</v>
      </c>
      <c r="K179" s="1083">
        <f aca="true" t="shared" si="35" ref="K179:P179">K180</f>
        <v>0</v>
      </c>
      <c r="L179" s="1107">
        <f t="shared" si="35"/>
        <v>0</v>
      </c>
      <c r="M179" s="1154">
        <f t="shared" si="35"/>
        <v>0</v>
      </c>
      <c r="N179" s="1287">
        <f t="shared" si="35"/>
        <v>0</v>
      </c>
      <c r="O179" s="1109" t="e">
        <f t="shared" si="35"/>
        <v>#REF!</v>
      </c>
      <c r="P179" s="1110" t="e">
        <f t="shared" si="35"/>
        <v>#REF!</v>
      </c>
      <c r="Q179" s="1089">
        <f t="shared" si="32"/>
        <v>0</v>
      </c>
      <c r="R179" s="1090" t="e">
        <f>N179/I179%</f>
        <v>#DIV/0!</v>
      </c>
      <c r="S179" s="1111"/>
      <c r="U179" s="1058"/>
      <c r="V179" s="1057"/>
      <c r="W179" s="1057"/>
      <c r="X179" s="1058"/>
    </row>
    <row r="180" spans="1:24" s="1101" customFormat="1" ht="12">
      <c r="A180" s="1146"/>
      <c r="B180" s="1147"/>
      <c r="C180" s="1093"/>
      <c r="D180" s="1136"/>
      <c r="E180" s="1211"/>
      <c r="F180" s="1080">
        <f>'[2]Summary'!E177/15.6466</f>
        <v>0</v>
      </c>
      <c r="G180" s="1080">
        <f>'[2]Summary'!F177/15.6466</f>
        <v>0</v>
      </c>
      <c r="H180" s="1081">
        <f>'[2]Summary'!G177/15.6466</f>
        <v>0</v>
      </c>
      <c r="I180" s="1081">
        <f>'[2]Summary'!H177/15.6466</f>
        <v>0</v>
      </c>
      <c r="J180" s="1082">
        <f>'[2]Summary'!I177/15.6466</f>
        <v>0</v>
      </c>
      <c r="K180" s="1217"/>
      <c r="L180" s="1218"/>
      <c r="M180" s="1297"/>
      <c r="N180" s="1298"/>
      <c r="O180" s="1219" t="e">
        <f>#REF!</f>
        <v>#REF!</v>
      </c>
      <c r="P180" s="1295" t="e">
        <f>#REF!</f>
        <v>#REF!</v>
      </c>
      <c r="Q180" s="1089">
        <f t="shared" si="32"/>
        <v>0</v>
      </c>
      <c r="R180" s="1090"/>
      <c r="S180" s="1100"/>
      <c r="U180" s="1058"/>
      <c r="V180" s="1057"/>
      <c r="W180" s="1057"/>
      <c r="X180" s="1058"/>
    </row>
    <row r="181" spans="1:24" s="1101" customFormat="1" ht="11.25">
      <c r="A181" s="1146" t="s">
        <v>600</v>
      </c>
      <c r="B181" s="1147"/>
      <c r="C181" s="1093"/>
      <c r="D181" s="1094"/>
      <c r="E181" s="1152" t="s">
        <v>601</v>
      </c>
      <c r="F181" s="1080">
        <f>'[2]Summary'!E178/15.6466</f>
        <v>3466421.7884396613</v>
      </c>
      <c r="G181" s="1080">
        <f>'[2]Summary'!F178/15.6466</f>
        <v>5761068.219293648</v>
      </c>
      <c r="H181" s="1081">
        <f>'[2]Summary'!G178/15.6466</f>
        <v>3123277.5912977904</v>
      </c>
      <c r="I181" s="1080">
        <f>'[2]Summary'!H178/15.6466</f>
        <v>5124030.817685632</v>
      </c>
      <c r="J181" s="1081">
        <f>J182+J189+J204+J206+J208-1</f>
        <v>2975771.101798474</v>
      </c>
      <c r="K181" s="1155">
        <f>K182+K189+K204+K206+K208</f>
        <v>2150325.1876</v>
      </c>
      <c r="L181" s="1281">
        <f>J181+K181</f>
        <v>5126096.289398474</v>
      </c>
      <c r="M181" s="1154">
        <f>M182+M189+M204+M206+M208</f>
        <v>101661.35200000001</v>
      </c>
      <c r="N181" s="1287">
        <f>N182+N189+N204+N206+N208+1</f>
        <v>5227757.602028899</v>
      </c>
      <c r="O181" s="1108" t="e">
        <f>O182+O189+O204+O206+O208</f>
        <v>#REF!</v>
      </c>
      <c r="P181" s="1157" t="e">
        <f>P182+P189+P204+P206+P208</f>
        <v>#REF!</v>
      </c>
      <c r="Q181" s="1089">
        <f t="shared" si="32"/>
        <v>1657609.0292459708</v>
      </c>
      <c r="R181" s="1090">
        <f>N181/I181%</f>
        <v>102.02432007210521</v>
      </c>
      <c r="S181" s="1100"/>
      <c r="U181" s="1058"/>
      <c r="V181" s="1057"/>
      <c r="W181" s="1057"/>
      <c r="X181" s="1058"/>
    </row>
    <row r="182" spans="1:24" s="1101" customFormat="1" ht="12">
      <c r="A182" s="1146" t="s">
        <v>602</v>
      </c>
      <c r="B182" s="1147"/>
      <c r="C182" s="1093"/>
      <c r="D182" s="1094"/>
      <c r="E182" s="1120" t="s">
        <v>603</v>
      </c>
      <c r="F182" s="1080">
        <f>'[2]Summary'!E179/15.6466</f>
        <v>1938049.3100098425</v>
      </c>
      <c r="G182" s="1080">
        <f>'[2]Summary'!F179/15.6466</f>
        <v>2046618.8181457953</v>
      </c>
      <c r="H182" s="1081">
        <f>'[2]Summary'!G179/15.6466</f>
        <v>1749762.8545498704</v>
      </c>
      <c r="I182" s="1081">
        <f>'[2]Summary'!H179/15.6466</f>
        <v>1818563.154678972</v>
      </c>
      <c r="J182" s="1082">
        <f>'[2]Summary'!I179/15.6466</f>
        <v>1693145.407692406</v>
      </c>
      <c r="K182" s="1155">
        <f aca="true" t="shared" si="36" ref="K182:P182">SUM(K184:K188)</f>
        <v>76415.4736</v>
      </c>
      <c r="L182" s="1107">
        <f t="shared" si="36"/>
        <v>1769560.8812924062</v>
      </c>
      <c r="M182" s="1154">
        <f>SUM(M184:M188)</f>
        <v>112551.456</v>
      </c>
      <c r="N182" s="1287">
        <f>SUM(N184:N188)</f>
        <v>1882112.2979228308</v>
      </c>
      <c r="O182" s="1108">
        <f t="shared" si="36"/>
        <v>0</v>
      </c>
      <c r="P182" s="1157">
        <f t="shared" si="36"/>
        <v>1805587.6777528136</v>
      </c>
      <c r="Q182" s="1089">
        <f t="shared" si="32"/>
        <v>-119486.15533087053</v>
      </c>
      <c r="R182" s="1090">
        <f>N182/I182%</f>
        <v>103.49446996549742</v>
      </c>
      <c r="S182" s="1100"/>
      <c r="U182" s="1058"/>
      <c r="V182" s="1057"/>
      <c r="W182" s="1057"/>
      <c r="X182" s="1058"/>
    </row>
    <row r="183" spans="1:24" s="1101" customFormat="1" ht="12">
      <c r="A183" s="1146"/>
      <c r="B183" s="1147"/>
      <c r="C183" s="1125"/>
      <c r="D183" s="1126"/>
      <c r="E183" s="1079" t="s">
        <v>370</v>
      </c>
      <c r="F183" s="1080">
        <f>'[2]Summary'!E180/15.6466</f>
        <v>0</v>
      </c>
      <c r="G183" s="1080">
        <f>'[2]Summary'!F180/15.6466</f>
        <v>0</v>
      </c>
      <c r="H183" s="1081">
        <f>'[2]Summary'!G180/15.6466</f>
        <v>0</v>
      </c>
      <c r="I183" s="1081">
        <f>'[2]Summary'!H180/15.6466</f>
        <v>0</v>
      </c>
      <c r="J183" s="1082">
        <f>'[2]Summary'!I180/15.6466</f>
        <v>0</v>
      </c>
      <c r="K183" s="1083"/>
      <c r="L183" s="1107"/>
      <c r="M183" s="1154"/>
      <c r="N183" s="1287"/>
      <c r="O183" s="1158"/>
      <c r="P183" s="1159"/>
      <c r="Q183" s="1089">
        <f t="shared" si="32"/>
        <v>0</v>
      </c>
      <c r="R183" s="1090"/>
      <c r="S183" s="1100"/>
      <c r="U183" s="1058"/>
      <c r="V183" s="1057"/>
      <c r="W183" s="1057"/>
      <c r="X183" s="1058"/>
    </row>
    <row r="184" spans="1:24" s="1101" customFormat="1" ht="12">
      <c r="A184" s="1314" t="s">
        <v>604</v>
      </c>
      <c r="B184" s="1138"/>
      <c r="C184" s="1315"/>
      <c r="D184" s="1126"/>
      <c r="E184" s="1140" t="s">
        <v>605</v>
      </c>
      <c r="F184" s="1080">
        <f>'[2]Summary'!E181/15.6466</f>
        <v>553971.9765316426</v>
      </c>
      <c r="G184" s="1080">
        <f>'[2]Summary'!F181/15.6466</f>
        <v>580316.8100417983</v>
      </c>
      <c r="H184" s="1081">
        <f>'[2]Summary'!G181/15.6466</f>
        <v>497840.55321922974</v>
      </c>
      <c r="I184" s="1081">
        <f>'[2]Summary'!H181/15.6466</f>
        <v>507853.4004831721</v>
      </c>
      <c r="J184" s="1082">
        <f>'[2]Summary'!I181/15.6466</f>
        <v>482084.2232817354</v>
      </c>
      <c r="K184" s="1217">
        <f>'[4]LPK_Room'!N229</f>
        <v>26005.689599999998</v>
      </c>
      <c r="L184" s="1084">
        <f aca="true" t="shared" si="37" ref="L184:L189">J184+K184</f>
        <v>508089.91288173536</v>
      </c>
      <c r="M184" s="1297">
        <f>'[4]LPK_Room'!S229</f>
        <v>52041.112</v>
      </c>
      <c r="N184" s="1298">
        <f>'[4]LPK_Room'!T229</f>
        <v>560131.0248817354</v>
      </c>
      <c r="O184" s="1219">
        <f>'[4]LPK_Room'!X229</f>
        <v>0</v>
      </c>
      <c r="P184" s="1295">
        <f>'[4]LPK_Room'!Y229</f>
        <v>556587.9959780509</v>
      </c>
      <c r="Q184" s="1089">
        <f t="shared" si="32"/>
        <v>-46118.57604847051</v>
      </c>
      <c r="R184" s="1090">
        <f aca="true" t="shared" si="38" ref="R184:R189">N184/I184%</f>
        <v>110.2938415591638</v>
      </c>
      <c r="S184" s="1100"/>
      <c r="U184" s="1058"/>
      <c r="V184" s="1057"/>
      <c r="W184" s="1057"/>
      <c r="X184" s="1058"/>
    </row>
    <row r="185" spans="1:24" s="1101" customFormat="1" ht="12">
      <c r="A185" s="1314" t="s">
        <v>606</v>
      </c>
      <c r="B185" s="1138"/>
      <c r="C185" s="1315"/>
      <c r="D185" s="1126"/>
      <c r="E185" s="1140" t="s">
        <v>607</v>
      </c>
      <c r="F185" s="1080">
        <f>'[2]Summary'!E182/15.6466</f>
        <v>861284.6665090179</v>
      </c>
      <c r="G185" s="1080">
        <f>'[2]Summary'!F182/15.6466</f>
        <v>924222.5147955467</v>
      </c>
      <c r="H185" s="1081">
        <f>'[2]Summary'!G182/15.6466</f>
        <v>786308.4299464421</v>
      </c>
      <c r="I185" s="1081">
        <f>'[2]Summary'!H182/15.6466</f>
        <v>834609.2595196401</v>
      </c>
      <c r="J185" s="1082">
        <f>'[2]Summary'!I182/15.6466</f>
        <v>788047.3380798385</v>
      </c>
      <c r="K185" s="1217">
        <f>'[4]LPK_Rukkilill'!N286</f>
        <v>30831.032</v>
      </c>
      <c r="L185" s="1084">
        <f t="shared" si="37"/>
        <v>818878.3700798386</v>
      </c>
      <c r="M185" s="1297">
        <f>'[4]LPK_Rukkilill'!S286</f>
        <v>45959.192</v>
      </c>
      <c r="N185" s="1298">
        <f>'[4]LPK_Rukkilill'!T286</f>
        <v>864837.522710263</v>
      </c>
      <c r="O185" s="1219">
        <f>'[4]LPK_Rukkilill'!X286</f>
        <v>0</v>
      </c>
      <c r="P185" s="1295">
        <f>'[4]LPK_Rukkilill'!Y286</f>
        <v>860367.8211324506</v>
      </c>
      <c r="Q185" s="1089">
        <f t="shared" si="32"/>
        <v>-26675.406989377807</v>
      </c>
      <c r="R185" s="1090">
        <f t="shared" si="38"/>
        <v>103.62184613288628</v>
      </c>
      <c r="S185" s="1100"/>
      <c r="U185" s="1058"/>
      <c r="V185" s="1057"/>
      <c r="W185" s="1057"/>
      <c r="X185" s="1058"/>
    </row>
    <row r="186" spans="1:24" s="1101" customFormat="1" ht="12">
      <c r="A186" s="1314" t="s">
        <v>608</v>
      </c>
      <c r="B186" s="1138"/>
      <c r="C186" s="1315"/>
      <c r="D186" s="1126"/>
      <c r="E186" s="1140" t="s">
        <v>609</v>
      </c>
      <c r="F186" s="1080">
        <f>'[2]Summary'!E183/15.6466</f>
        <v>414142.8644561758</v>
      </c>
      <c r="G186" s="1080">
        <f>'[2]Summary'!F183/15.6466</f>
        <v>428252.9111755909</v>
      </c>
      <c r="H186" s="1081">
        <f>'[2]Summary'!G183/15.6466</f>
        <v>385021.28257896286</v>
      </c>
      <c r="I186" s="1081">
        <f>'[2]Summary'!H183/15.6466</f>
        <v>395507.90587092406</v>
      </c>
      <c r="J186" s="1082">
        <f>'[2]Summary'!I183/15.6466</f>
        <v>374377.0817941278</v>
      </c>
      <c r="K186" s="1217">
        <f>'[4]LPK_Sipsik'!P228</f>
        <v>19578.752</v>
      </c>
      <c r="L186" s="1084">
        <f t="shared" si="37"/>
        <v>393955.8337941278</v>
      </c>
      <c r="M186" s="1297">
        <f>'[4]LPK_Sipsik'!U228</f>
        <v>18551.152000000002</v>
      </c>
      <c r="N186" s="1298">
        <f>'[4]LPK_Sipsik'!V228</f>
        <v>412506.9857941278</v>
      </c>
      <c r="O186" s="1219">
        <f>'[4]LPK_Sipsik'!Z228</f>
        <v>0</v>
      </c>
      <c r="P186" s="1295">
        <f>'[4]LPK_Sipsik'!AA228</f>
        <v>343995.0961056076</v>
      </c>
      <c r="Q186" s="1089">
        <f t="shared" si="32"/>
        <v>-18634.958585251763</v>
      </c>
      <c r="R186" s="1090">
        <f t="shared" si="38"/>
        <v>104.29803795850076</v>
      </c>
      <c r="S186" s="1100"/>
      <c r="U186" s="1058"/>
      <c r="V186" s="1057"/>
      <c r="W186" s="1057"/>
      <c r="X186" s="1058"/>
    </row>
    <row r="187" spans="1:24" s="1111" customFormat="1" ht="12">
      <c r="A187" s="1137" t="s">
        <v>610</v>
      </c>
      <c r="B187" s="1138"/>
      <c r="C187" s="1125"/>
      <c r="D187" s="1126"/>
      <c r="E187" s="1140" t="s">
        <v>611</v>
      </c>
      <c r="F187" s="1080">
        <f>'[2]Summary'!E184/15.6466</f>
        <v>12782.329707412473</v>
      </c>
      <c r="G187" s="1080">
        <f>'[2]Summary'!F184/15.6466</f>
        <v>17959.173238914525</v>
      </c>
      <c r="H187" s="1081">
        <f>'[2]Summary'!G184/15.6466</f>
        <v>16680.94026817328</v>
      </c>
      <c r="I187" s="1081">
        <f>'[2]Summary'!H184/15.6466</f>
        <v>16680.94026817328</v>
      </c>
      <c r="J187" s="1082">
        <f>'[2]Summary'!I184/15.6466</f>
        <v>16680.94026817328</v>
      </c>
      <c r="K187" s="1217"/>
      <c r="L187" s="1218">
        <f t="shared" si="37"/>
        <v>16680.94026817328</v>
      </c>
      <c r="M187" s="1297">
        <v>-4000</v>
      </c>
      <c r="N187" s="1298">
        <f>L187+M187</f>
        <v>12680.940268173279</v>
      </c>
      <c r="O187" s="1221"/>
      <c r="P187" s="1316">
        <f>N187+O187</f>
        <v>12680.940268173279</v>
      </c>
      <c r="Q187" s="1089">
        <f t="shared" si="32"/>
        <v>3898.610560760806</v>
      </c>
      <c r="R187" s="1090">
        <f t="shared" si="38"/>
        <v>76.02053639846744</v>
      </c>
      <c r="U187" s="1058"/>
      <c r="V187" s="1057"/>
      <c r="W187" s="1057"/>
      <c r="X187" s="1058"/>
    </row>
    <row r="188" spans="1:24" s="1074" customFormat="1" ht="12">
      <c r="A188" s="1137" t="s">
        <v>612</v>
      </c>
      <c r="B188" s="1138"/>
      <c r="C188" s="1125"/>
      <c r="D188" s="1317"/>
      <c r="E188" s="1140" t="s">
        <v>613</v>
      </c>
      <c r="F188" s="1080">
        <f>'[2]Summary'!E185/15.6466</f>
        <v>95867.47280559356</v>
      </c>
      <c r="G188" s="1080">
        <f>'[2]Summary'!F185/15.6466</f>
        <v>95867.47280559356</v>
      </c>
      <c r="H188" s="1081">
        <f>'[2]Summary'!G185/15.6466</f>
        <v>63911.64853706237</v>
      </c>
      <c r="I188" s="1081">
        <f>'[2]Summary'!H185/15.6466</f>
        <v>63911.64853706237</v>
      </c>
      <c r="J188" s="1082">
        <f>'[2]Summary'!I185/15.6466</f>
        <v>31955.824268531185</v>
      </c>
      <c r="K188" s="1128"/>
      <c r="L188" s="1218">
        <f t="shared" si="37"/>
        <v>31955.824268531185</v>
      </c>
      <c r="M188" s="1297">
        <v>0</v>
      </c>
      <c r="N188" s="1298">
        <f>L188+M188</f>
        <v>31955.824268531185</v>
      </c>
      <c r="O188" s="1221"/>
      <c r="P188" s="1316">
        <f>N188+O188</f>
        <v>31955.824268531185</v>
      </c>
      <c r="Q188" s="1089">
        <f t="shared" si="32"/>
        <v>-31955.824268531185</v>
      </c>
      <c r="R188" s="1090">
        <f t="shared" si="38"/>
        <v>50.00000000000001</v>
      </c>
      <c r="S188" s="1318"/>
      <c r="U188" s="1058"/>
      <c r="V188" s="1057"/>
      <c r="W188" s="1057"/>
      <c r="X188" s="1058"/>
    </row>
    <row r="189" spans="1:24" s="1101" customFormat="1" ht="12">
      <c r="A189" s="1102" t="s">
        <v>614</v>
      </c>
      <c r="B189" s="1103"/>
      <c r="C189" s="1093"/>
      <c r="D189" s="1094"/>
      <c r="E189" s="1120" t="s">
        <v>615</v>
      </c>
      <c r="F189" s="1080">
        <f>'[2]Summary'!E186/15.6466</f>
        <v>1504645.2257998544</v>
      </c>
      <c r="G189" s="1080">
        <f>'[2]Summary'!F186/15.6466</f>
        <v>3690977.9121342655</v>
      </c>
      <c r="H189" s="1081">
        <f>'[2]Summary'!G186/15.6466</f>
        <v>1351291.39877034</v>
      </c>
      <c r="I189" s="1081">
        <f>'[2]Summary'!H186/15.6466</f>
        <v>3283244.3250290803</v>
      </c>
      <c r="J189" s="1082">
        <f>'[2]Summary'!I186/15.6466</f>
        <v>1264456.3322383137</v>
      </c>
      <c r="K189" s="1155">
        <f>K191+K192+K193+K195+K199+K201+K194+K202</f>
        <v>2073909.714</v>
      </c>
      <c r="L189" s="1084">
        <f t="shared" si="37"/>
        <v>3338366.0462383134</v>
      </c>
      <c r="M189" s="1154">
        <f>M191+M192+M193+M195+M199+M201+M194+M202</f>
        <v>-11091.703999999998</v>
      </c>
      <c r="N189" s="1154">
        <f>N191+N192+N193+N195+N199+N202-2</f>
        <v>3327272.3422383135</v>
      </c>
      <c r="O189" s="1156" t="e">
        <f>O191+O192+O193+O195+#REF!+O199+O201</f>
        <v>#REF!</v>
      </c>
      <c r="P189" s="1141" t="e">
        <f>P191+P192+P193+P195+#REF!+P199+P201</f>
        <v>#REF!</v>
      </c>
      <c r="Q189" s="1089">
        <f t="shared" si="32"/>
        <v>1778599.099229226</v>
      </c>
      <c r="R189" s="1090">
        <f t="shared" si="38"/>
        <v>101.34099119196203</v>
      </c>
      <c r="S189" s="1100"/>
      <c r="U189" s="1058"/>
      <c r="V189" s="1057"/>
      <c r="W189" s="1057"/>
      <c r="X189" s="1058"/>
    </row>
    <row r="190" spans="1:24" s="1101" customFormat="1" ht="12">
      <c r="A190" s="1146"/>
      <c r="B190" s="1147"/>
      <c r="C190" s="1093"/>
      <c r="D190" s="1136"/>
      <c r="E190" s="1079" t="s">
        <v>370</v>
      </c>
      <c r="F190" s="1080">
        <f>'[2]Summary'!E187/15.6466</f>
        <v>0</v>
      </c>
      <c r="G190" s="1080">
        <f>'[2]Summary'!F187/15.6466</f>
        <v>0</v>
      </c>
      <c r="H190" s="1081">
        <f>'[2]Summary'!G187/15.6466</f>
        <v>0</v>
      </c>
      <c r="I190" s="1081">
        <f>'[2]Summary'!H187/15.6466</f>
        <v>0</v>
      </c>
      <c r="J190" s="1082">
        <f>'[2]Summary'!I187/15.6466</f>
        <v>0</v>
      </c>
      <c r="K190" s="1083"/>
      <c r="L190" s="1107"/>
      <c r="M190" s="1154"/>
      <c r="N190" s="1287"/>
      <c r="O190" s="1158"/>
      <c r="P190" s="1159"/>
      <c r="Q190" s="1089">
        <f t="shared" si="32"/>
        <v>0</v>
      </c>
      <c r="R190" s="1090"/>
      <c r="S190" s="1100"/>
      <c r="U190" s="1058"/>
      <c r="V190" s="1057"/>
      <c r="W190" s="1057"/>
      <c r="X190" s="1058"/>
    </row>
    <row r="191" spans="1:24" s="1101" customFormat="1" ht="12">
      <c r="A191" s="1137" t="s">
        <v>616</v>
      </c>
      <c r="B191" s="1138"/>
      <c r="C191" s="1319"/>
      <c r="D191" s="1126"/>
      <c r="E191" s="1140" t="s">
        <v>92</v>
      </c>
      <c r="F191" s="1080">
        <f>'[2]Summary'!E188/15.6466</f>
        <v>359814.5395165723</v>
      </c>
      <c r="G191" s="1080">
        <f>'[2]Summary'!F188/15.6466</f>
        <v>912972.3582120078</v>
      </c>
      <c r="H191" s="1081">
        <f>'[2]Summary'!G188/15.6466</f>
        <v>324969.89761353907</v>
      </c>
      <c r="I191" s="1081">
        <f>'[2]Summary'!H188/15.6466</f>
        <v>885053.6361893319</v>
      </c>
      <c r="J191" s="1082">
        <f>'[2]Summary'!I188/15.6466</f>
        <v>280066.3479605793</v>
      </c>
      <c r="K191" s="1320">
        <f>'[4]Pohikool'!N228</f>
        <v>563082.36</v>
      </c>
      <c r="L191" s="1218">
        <f>'[4]Pohikool'!O228</f>
        <v>843148.7079605793</v>
      </c>
      <c r="M191" s="1297">
        <f>'[4]Pohikool'!S228</f>
        <v>5219</v>
      </c>
      <c r="N191" s="1285">
        <f>L191+M191</f>
        <v>848367.7079605793</v>
      </c>
      <c r="O191" s="1219">
        <f>'[4]Pohikool'!X228</f>
        <v>0</v>
      </c>
      <c r="P191" s="1295">
        <f>'[4]Pohikool'!Y228</f>
        <v>333259.23206166195</v>
      </c>
      <c r="Q191" s="1089">
        <f t="shared" si="32"/>
        <v>525239.0966727596</v>
      </c>
      <c r="R191" s="1090">
        <f>N191/I191%</f>
        <v>95.8549485897028</v>
      </c>
      <c r="S191" s="1100"/>
      <c r="U191" s="1058"/>
      <c r="V191" s="1057"/>
      <c r="W191" s="1057"/>
      <c r="X191" s="1058"/>
    </row>
    <row r="192" spans="1:24" s="1101" customFormat="1" ht="12">
      <c r="A192" s="1137" t="s">
        <v>617</v>
      </c>
      <c r="B192" s="1138"/>
      <c r="C192" s="1319"/>
      <c r="D192" s="1126"/>
      <c r="E192" s="1140" t="s">
        <v>93</v>
      </c>
      <c r="F192" s="1080">
        <f>'[2]Summary'!E189/15.6466</f>
        <v>280244.63973003725</v>
      </c>
      <c r="G192" s="1080">
        <f>'[2]Summary'!F189/15.6466</f>
        <v>614489.6015747831</v>
      </c>
      <c r="H192" s="1081">
        <f>'[2]Summary'!G189/15.6466</f>
        <v>263387.18954916723</v>
      </c>
      <c r="I192" s="1081">
        <f>'[2]Summary'!H189/15.6466</f>
        <v>548410.497360449</v>
      </c>
      <c r="J192" s="1082">
        <f>'[2]Summary'!I189/15.6466</f>
        <v>251145.5932918334</v>
      </c>
      <c r="K192" s="1217">
        <f>'[4]Keskkool'!O285</f>
        <v>287573.69</v>
      </c>
      <c r="L192" s="1218">
        <f>'[4]Keskkool'!P285</f>
        <v>538719.2832918332</v>
      </c>
      <c r="M192" s="1297">
        <f>'[4]Keskkool'!T285</f>
        <v>8514.52</v>
      </c>
      <c r="N192" s="1285">
        <f>L192+M192</f>
        <v>547233.8032918333</v>
      </c>
      <c r="O192" s="1219">
        <f>'[4]Keskkool'!X228</f>
        <v>0</v>
      </c>
      <c r="P192" s="1295">
        <f>'[4]Keskkool'!Y228</f>
        <v>523585.0880496721</v>
      </c>
      <c r="Q192" s="1089">
        <f t="shared" si="32"/>
        <v>268165.8576304118</v>
      </c>
      <c r="R192" s="1090">
        <f>N192/I192%</f>
        <v>99.78543553154446</v>
      </c>
      <c r="S192" s="1100"/>
      <c r="U192" s="1058"/>
      <c r="V192" s="1057"/>
      <c r="W192" s="1057"/>
      <c r="X192" s="1058"/>
    </row>
    <row r="193" spans="1:24" s="1101" customFormat="1" ht="12">
      <c r="A193" s="1137" t="s">
        <v>618</v>
      </c>
      <c r="B193" s="1138"/>
      <c r="C193" s="1319"/>
      <c r="D193" s="1126"/>
      <c r="E193" s="1140" t="s">
        <v>94</v>
      </c>
      <c r="F193" s="1080">
        <f>'[2]Summary'!E190/15.6466</f>
        <v>532245.4741605206</v>
      </c>
      <c r="G193" s="1080">
        <f>'[2]Summary'!F190/15.6466</f>
        <v>1682324.211010699</v>
      </c>
      <c r="H193" s="1081">
        <f>'[2]Summary'!G190/15.6466</f>
        <v>482837.8050183427</v>
      </c>
      <c r="I193" s="1081">
        <f>'[2]Summary'!H190/15.6466</f>
        <v>1489017.725512252</v>
      </c>
      <c r="J193" s="1082">
        <f>'[2]Summary'!I190/15.6466</f>
        <v>457497.3916377999</v>
      </c>
      <c r="K193" s="1217">
        <f>'[4]Gumnaasium'!S288</f>
        <v>1072965.6639999999</v>
      </c>
      <c r="L193" s="1084">
        <f aca="true" t="shared" si="39" ref="L193:L199">J193+K193</f>
        <v>1530463.0556377997</v>
      </c>
      <c r="M193" s="1297">
        <f>'[4]Gumnaasium'!X288</f>
        <v>25174.775999999998</v>
      </c>
      <c r="N193" s="1285">
        <f>L193+M193</f>
        <v>1555637.8316377997</v>
      </c>
      <c r="O193" s="1219">
        <f>'[4]Gumnaasium'!AC288</f>
        <v>0</v>
      </c>
      <c r="P193" s="1295">
        <f>'[4]Gumnaasium'!AD288</f>
        <v>1547181.3777088954</v>
      </c>
      <c r="Q193" s="1089">
        <f t="shared" si="32"/>
        <v>956772.2513517314</v>
      </c>
      <c r="R193" s="1090">
        <f>N193/I193%</f>
        <v>104.47409758689267</v>
      </c>
      <c r="S193" s="1100"/>
      <c r="U193" s="1058"/>
      <c r="V193" s="1057"/>
      <c r="W193" s="1057"/>
      <c r="X193" s="1058"/>
    </row>
    <row r="194" spans="1:24" s="1101" customFormat="1" ht="12" hidden="1">
      <c r="A194" s="1137" t="s">
        <v>619</v>
      </c>
      <c r="B194" s="1138"/>
      <c r="C194" s="1319"/>
      <c r="D194" s="1126"/>
      <c r="E194" s="1140" t="s">
        <v>620</v>
      </c>
      <c r="F194" s="1080">
        <f>'[2]Summary'!E191/15.6466</f>
        <v>0</v>
      </c>
      <c r="G194" s="1080">
        <f>'[2]Summary'!F191/15.6466</f>
        <v>0</v>
      </c>
      <c r="H194" s="1081">
        <f>'[2]Summary'!G191/15.6466</f>
        <v>0</v>
      </c>
      <c r="I194" s="1081">
        <f>'[2]Summary'!H191/15.6466</f>
        <v>0</v>
      </c>
      <c r="J194" s="1082">
        <f>'[2]Summary'!I191/15.6466</f>
        <v>0</v>
      </c>
      <c r="K194" s="1217"/>
      <c r="L194" s="1218">
        <f t="shared" si="39"/>
        <v>0</v>
      </c>
      <c r="M194" s="1297"/>
      <c r="N194" s="1291">
        <f aca="true" t="shared" si="40" ref="N194:N199">L194+M194</f>
        <v>0</v>
      </c>
      <c r="O194" s="1295"/>
      <c r="P194" s="1321"/>
      <c r="Q194" s="1089">
        <f t="shared" si="32"/>
        <v>0</v>
      </c>
      <c r="R194" s="1090"/>
      <c r="S194" s="1100"/>
      <c r="U194" s="1058"/>
      <c r="V194" s="1057"/>
      <c r="W194" s="1057"/>
      <c r="X194" s="1058"/>
    </row>
    <row r="195" spans="1:24" s="1121" customFormat="1" ht="12">
      <c r="A195" s="1137"/>
      <c r="B195" s="1138"/>
      <c r="C195" s="1125"/>
      <c r="D195" s="1126"/>
      <c r="E195" s="1140" t="s">
        <v>621</v>
      </c>
      <c r="F195" s="1080">
        <f>'[2]Summary'!E192/15.6466</f>
        <v>44738.15397594366</v>
      </c>
      <c r="G195" s="1080">
        <f>'[2]Summary'!F192/15.6466</f>
        <v>193589.34209348998</v>
      </c>
      <c r="H195" s="1081">
        <f>'[2]Summary'!G192/15.6466</f>
        <v>56405.73670957269</v>
      </c>
      <c r="I195" s="1081">
        <f>'[2]Summary'!H192/15.6466</f>
        <v>137071.6960873289</v>
      </c>
      <c r="J195" s="1082">
        <f>'[2]Summary'!I192/15.6466</f>
        <v>52056.22946838291</v>
      </c>
      <c r="K195" s="1217">
        <f>K196+K197+K198</f>
        <v>150288</v>
      </c>
      <c r="L195" s="1084">
        <f t="shared" si="39"/>
        <v>202344.2294683829</v>
      </c>
      <c r="M195" s="1285">
        <f>SUM(M196:M198)</f>
        <v>0</v>
      </c>
      <c r="N195" s="1291">
        <f t="shared" si="40"/>
        <v>202344.2294683829</v>
      </c>
      <c r="O195" s="1087"/>
      <c r="P195" s="1322">
        <f>N195+O195</f>
        <v>202344.2294683829</v>
      </c>
      <c r="Q195" s="1089">
        <f t="shared" si="32"/>
        <v>92333.54211138524</v>
      </c>
      <c r="R195" s="1090">
        <f>N195/I195%</f>
        <v>147.61926440267337</v>
      </c>
      <c r="S195" s="1111"/>
      <c r="U195" s="1058"/>
      <c r="V195" s="1057"/>
      <c r="W195" s="1057"/>
      <c r="X195" s="1058"/>
    </row>
    <row r="196" spans="1:24" s="1121" customFormat="1" ht="12">
      <c r="A196" s="1137" t="s">
        <v>616</v>
      </c>
      <c r="B196" s="1138"/>
      <c r="C196" s="1125"/>
      <c r="D196" s="1126"/>
      <c r="E196" s="1127" t="s">
        <v>92</v>
      </c>
      <c r="F196" s="1080">
        <f>'[2]Summary'!E193/15.6466</f>
        <v>14469.341582196772</v>
      </c>
      <c r="G196" s="1080">
        <f>'[2]Summary'!F193/15.6466</f>
        <v>61081.32118159856</v>
      </c>
      <c r="H196" s="1081">
        <f>'[2]Summary'!G193/15.6466</f>
        <v>22014.111691996983</v>
      </c>
      <c r="I196" s="1081">
        <f>'[2]Summary'!H193/15.6466</f>
        <v>47578.32372528217</v>
      </c>
      <c r="J196" s="1082">
        <f>'[2]Summary'!I193/15.6466</f>
        <v>17288.420487518055</v>
      </c>
      <c r="K196" s="1128">
        <v>50291</v>
      </c>
      <c r="L196" s="1262">
        <f t="shared" si="39"/>
        <v>67579.42048751806</v>
      </c>
      <c r="M196" s="1285"/>
      <c r="N196" s="1291">
        <f t="shared" si="40"/>
        <v>67579.42048751806</v>
      </c>
      <c r="O196" s="1087"/>
      <c r="P196" s="1322"/>
      <c r="Q196" s="1089">
        <f t="shared" si="32"/>
        <v>33108.9821430854</v>
      </c>
      <c r="R196" s="1090">
        <f>N196/I196%</f>
        <v>142.03825439021867</v>
      </c>
      <c r="S196" s="1111"/>
      <c r="T196" s="1323"/>
      <c r="U196" s="1058"/>
      <c r="V196" s="1057"/>
      <c r="W196" s="1057"/>
      <c r="X196" s="1058"/>
    </row>
    <row r="197" spans="1:24" s="1121" customFormat="1" ht="12">
      <c r="A197" s="1137" t="s">
        <v>617</v>
      </c>
      <c r="B197" s="1138"/>
      <c r="C197" s="1125"/>
      <c r="D197" s="1126"/>
      <c r="E197" s="1127" t="s">
        <v>93</v>
      </c>
      <c r="F197" s="1080">
        <f>'[2]Summary'!E194/15.6466</f>
        <v>7093.617782777089</v>
      </c>
      <c r="G197" s="1080">
        <f>'[2]Summary'!F194/15.6466</f>
        <v>30680.33949867703</v>
      </c>
      <c r="H197" s="1081">
        <f>'[2]Summary'!G194/15.6466</f>
        <v>8323.150077333095</v>
      </c>
      <c r="I197" s="1081">
        <f>'[2]Summary'!H194/15.6466</f>
        <v>20992.803548374726</v>
      </c>
      <c r="J197" s="1082">
        <f>'[2]Summary'!I194/15.6466</f>
        <v>8262.1144529802</v>
      </c>
      <c r="K197" s="1128">
        <v>23381</v>
      </c>
      <c r="L197" s="1281">
        <f t="shared" si="39"/>
        <v>31643.1144529802</v>
      </c>
      <c r="M197" s="1291"/>
      <c r="N197" s="1291">
        <f t="shared" si="40"/>
        <v>31643.1144529802</v>
      </c>
      <c r="O197" s="1087"/>
      <c r="P197" s="1322"/>
      <c r="Q197" s="1089">
        <f t="shared" si="32"/>
        <v>13899.185765597638</v>
      </c>
      <c r="R197" s="1090">
        <f>N197/I197%</f>
        <v>150.73315186351098</v>
      </c>
      <c r="S197" s="1111"/>
      <c r="T197" s="1323"/>
      <c r="U197" s="1058"/>
      <c r="V197" s="1057"/>
      <c r="W197" s="1057"/>
      <c r="X197" s="1058"/>
    </row>
    <row r="198" spans="1:24" s="1121" customFormat="1" ht="12">
      <c r="A198" s="1137" t="s">
        <v>618</v>
      </c>
      <c r="B198" s="1138"/>
      <c r="C198" s="1125"/>
      <c r="D198" s="1126"/>
      <c r="E198" s="1127" t="s">
        <v>94</v>
      </c>
      <c r="F198" s="1080">
        <f>'[2]Summary'!E195/15.6466</f>
        <v>23175.194610969796</v>
      </c>
      <c r="G198" s="1080">
        <f>'[2]Summary'!F195/15.6466</f>
        <v>101827.68141321438</v>
      </c>
      <c r="H198" s="1081">
        <f>'[2]Summary'!G195/15.6466</f>
        <v>26068.47494024261</v>
      </c>
      <c r="I198" s="1081">
        <f>'[2]Summary'!H195/15.6466</f>
        <v>68500.56881367198</v>
      </c>
      <c r="J198" s="1082">
        <f>'[2]Summary'!I195/15.6466</f>
        <v>26505.694527884654</v>
      </c>
      <c r="K198" s="1128">
        <v>76616</v>
      </c>
      <c r="L198" s="1324">
        <f t="shared" si="39"/>
        <v>103121.69452788465</v>
      </c>
      <c r="M198" s="1285"/>
      <c r="N198" s="1291">
        <f t="shared" si="40"/>
        <v>103121.69452788465</v>
      </c>
      <c r="O198" s="1087"/>
      <c r="P198" s="1322"/>
      <c r="Q198" s="1089">
        <f t="shared" si="32"/>
        <v>45325.37420270219</v>
      </c>
      <c r="R198" s="1090">
        <f>N198/I198%</f>
        <v>150.54136967590065</v>
      </c>
      <c r="S198" s="1111"/>
      <c r="T198" s="1323"/>
      <c r="U198" s="1058"/>
      <c r="V198" s="1057"/>
      <c r="W198" s="1057"/>
      <c r="X198" s="1058"/>
    </row>
    <row r="199" spans="1:24" s="1121" customFormat="1" ht="12">
      <c r="A199" s="1137" t="s">
        <v>622</v>
      </c>
      <c r="B199" s="1138"/>
      <c r="C199" s="1125"/>
      <c r="D199" s="1317"/>
      <c r="E199" s="1140" t="s">
        <v>613</v>
      </c>
      <c r="F199" s="1080">
        <f>'[2]Summary'!E196/15.6466</f>
        <v>287602.41841678065</v>
      </c>
      <c r="G199" s="1080">
        <f>'[2]Summary'!F196/15.6466</f>
        <v>287602.41841678065</v>
      </c>
      <c r="H199" s="1081">
        <f>'[2]Summary'!G196/15.6466</f>
        <v>223690.76987971828</v>
      </c>
      <c r="I199" s="1081">
        <f>'[2]Summary'!H196/15.6466</f>
        <v>223690.76987971828</v>
      </c>
      <c r="J199" s="1082">
        <f>'[2]Summary'!I196/15.6466</f>
        <v>223690.76987971828</v>
      </c>
      <c r="K199" s="1128"/>
      <c r="L199" s="1325">
        <f t="shared" si="39"/>
        <v>223690.76987971828</v>
      </c>
      <c r="M199" s="1298">
        <v>-50000</v>
      </c>
      <c r="N199" s="1298">
        <f t="shared" si="40"/>
        <v>173690.76987971828</v>
      </c>
      <c r="O199" s="1221"/>
      <c r="P199" s="1316">
        <f>N199+O199</f>
        <v>173690.76987971828</v>
      </c>
      <c r="Q199" s="1089">
        <f t="shared" si="32"/>
        <v>-63911.64853706237</v>
      </c>
      <c r="R199" s="1090">
        <f>N199/I199%</f>
        <v>77.64771428571429</v>
      </c>
      <c r="S199" s="1111"/>
      <c r="U199" s="1058"/>
      <c r="V199" s="1057"/>
      <c r="W199" s="1057"/>
      <c r="X199" s="1058"/>
    </row>
    <row r="200" spans="1:24" s="1121" customFormat="1" ht="12" hidden="1">
      <c r="A200" s="1137"/>
      <c r="B200" s="1138"/>
      <c r="C200" s="1125"/>
      <c r="D200" s="1126"/>
      <c r="E200" s="1140" t="s">
        <v>623</v>
      </c>
      <c r="F200" s="1080">
        <f>'[2]Summary'!E197/15.6466</f>
        <v>0</v>
      </c>
      <c r="G200" s="1080">
        <f>'[2]Summary'!F197/15.6466</f>
        <v>0</v>
      </c>
      <c r="H200" s="1081">
        <f>'[2]Summary'!G197/15.6466</f>
        <v>0</v>
      </c>
      <c r="I200" s="1081">
        <f>'[2]Summary'!H197/15.6466</f>
        <v>0</v>
      </c>
      <c r="J200" s="1082">
        <f>'[2]Summary'!I197/15.6466</f>
        <v>0</v>
      </c>
      <c r="K200" s="1083"/>
      <c r="L200" s="1107"/>
      <c r="M200" s="1154"/>
      <c r="N200" s="1287"/>
      <c r="O200" s="1326"/>
      <c r="P200" s="1327"/>
      <c r="Q200" s="1089">
        <f t="shared" si="32"/>
        <v>0</v>
      </c>
      <c r="R200" s="1090"/>
      <c r="S200" s="1111"/>
      <c r="U200" s="1058"/>
      <c r="V200" s="1057"/>
      <c r="W200" s="1057"/>
      <c r="X200" s="1058"/>
    </row>
    <row r="201" spans="1:24" s="1121" customFormat="1" ht="12" hidden="1">
      <c r="A201" s="1137" t="s">
        <v>624</v>
      </c>
      <c r="B201" s="1138"/>
      <c r="C201" s="1125"/>
      <c r="D201" s="1126"/>
      <c r="E201" s="1140" t="s">
        <v>625</v>
      </c>
      <c r="F201" s="1080">
        <f>'[2]Summary'!E198/15.6466</f>
        <v>0</v>
      </c>
      <c r="G201" s="1080">
        <f>'[2]Summary'!F198/15.6466</f>
        <v>0</v>
      </c>
      <c r="H201" s="1081">
        <f>'[2]Summary'!G198/15.6466</f>
        <v>0</v>
      </c>
      <c r="I201" s="1081">
        <f>'[2]Summary'!H198/15.6466</f>
        <v>0</v>
      </c>
      <c r="J201" s="1082">
        <f>'[2]Summary'!I198/15.6466</f>
        <v>0</v>
      </c>
      <c r="K201" s="1128"/>
      <c r="L201" s="1218">
        <f>J201+K201</f>
        <v>0</v>
      </c>
      <c r="M201" s="1297"/>
      <c r="N201" s="1298">
        <f>L201+M201</f>
        <v>0</v>
      </c>
      <c r="O201" s="1221"/>
      <c r="P201" s="1316">
        <f>N201+O201</f>
        <v>0</v>
      </c>
      <c r="Q201" s="1089">
        <f t="shared" si="32"/>
        <v>0</v>
      </c>
      <c r="R201" s="1090"/>
      <c r="S201" s="1111"/>
      <c r="U201" s="1058"/>
      <c r="V201" s="1057"/>
      <c r="W201" s="1057"/>
      <c r="X201" s="1058"/>
    </row>
    <row r="202" spans="1:24" s="1101" customFormat="1" ht="12" hidden="1">
      <c r="A202" s="1137" t="s">
        <v>626</v>
      </c>
      <c r="B202" s="1138"/>
      <c r="C202" s="1319"/>
      <c r="D202" s="1126"/>
      <c r="E202" s="1140" t="s">
        <v>627</v>
      </c>
      <c r="F202" s="1080">
        <f>'[2]Summary'!E199/15.6466</f>
        <v>0</v>
      </c>
      <c r="G202" s="1080">
        <f>'[2]Summary'!F199/15.6466</f>
        <v>0</v>
      </c>
      <c r="H202" s="1081">
        <f>'[2]Summary'!G199/15.6466</f>
        <v>0</v>
      </c>
      <c r="I202" s="1081">
        <f>'[2]Summary'!H199/15.6466</f>
        <v>0</v>
      </c>
      <c r="J202" s="1082">
        <f>'[2]Summary'!I199/15.6466</f>
        <v>0</v>
      </c>
      <c r="K202" s="1217">
        <v>0</v>
      </c>
      <c r="L202" s="1218">
        <f>J202+K202</f>
        <v>0</v>
      </c>
      <c r="M202" s="1297"/>
      <c r="N202" s="1298"/>
      <c r="O202" s="1219" t="e">
        <f>#REF!</f>
        <v>#REF!</v>
      </c>
      <c r="P202" s="1295" t="e">
        <f>#REF!</f>
        <v>#REF!</v>
      </c>
      <c r="Q202" s="1089">
        <f t="shared" si="32"/>
        <v>0</v>
      </c>
      <c r="R202" s="1090"/>
      <c r="S202" s="1100"/>
      <c r="U202" s="1058"/>
      <c r="V202" s="1057"/>
      <c r="W202" s="1057"/>
      <c r="X202" s="1058"/>
    </row>
    <row r="203" spans="1:24" s="1101" customFormat="1" ht="12" hidden="1">
      <c r="A203" s="1146"/>
      <c r="B203" s="1147"/>
      <c r="C203" s="1319"/>
      <c r="D203" s="1126"/>
      <c r="E203" s="1140" t="s">
        <v>628</v>
      </c>
      <c r="F203" s="1080">
        <f>'[2]Summary'!E200/15.6466</f>
        <v>0</v>
      </c>
      <c r="G203" s="1080">
        <f>'[2]Summary'!F200/15.6466</f>
        <v>0</v>
      </c>
      <c r="H203" s="1081">
        <f>'[2]Summary'!G200/15.6466</f>
        <v>0</v>
      </c>
      <c r="I203" s="1081">
        <f>'[2]Summary'!H200/15.6466</f>
        <v>0</v>
      </c>
      <c r="J203" s="1082">
        <f>'[2]Summary'!I200/15.6466</f>
        <v>0</v>
      </c>
      <c r="K203" s="1083"/>
      <c r="L203" s="1107"/>
      <c r="M203" s="1154"/>
      <c r="N203" s="1287"/>
      <c r="O203" s="1158"/>
      <c r="P203" s="1159"/>
      <c r="Q203" s="1089">
        <f t="shared" si="32"/>
        <v>0</v>
      </c>
      <c r="R203" s="1090"/>
      <c r="S203" s="1100"/>
      <c r="U203" s="1058"/>
      <c r="V203" s="1057"/>
      <c r="W203" s="1057"/>
      <c r="X203" s="1058"/>
    </row>
    <row r="204" spans="1:24" s="1101" customFormat="1" ht="12" hidden="1">
      <c r="A204" s="1146" t="s">
        <v>629</v>
      </c>
      <c r="B204" s="1147"/>
      <c r="C204" s="1093"/>
      <c r="D204" s="1136"/>
      <c r="E204" s="1211" t="s">
        <v>630</v>
      </c>
      <c r="F204" s="1080">
        <f>'[2]Summary'!E201/15.6466</f>
        <v>0</v>
      </c>
      <c r="G204" s="1080">
        <f>'[2]Summary'!F201/15.6466</f>
        <v>0</v>
      </c>
      <c r="H204" s="1081">
        <f>'[2]Summary'!G201/15.6466</f>
        <v>0</v>
      </c>
      <c r="I204" s="1081">
        <f>'[2]Summary'!H201/15.6466</f>
        <v>0</v>
      </c>
      <c r="J204" s="1082">
        <f>'[2]Summary'!I201/15.6466</f>
        <v>0</v>
      </c>
      <c r="K204" s="1083"/>
      <c r="L204" s="1107"/>
      <c r="M204" s="1154"/>
      <c r="N204" s="1287"/>
      <c r="O204" s="1158"/>
      <c r="P204" s="1159"/>
      <c r="Q204" s="1089">
        <f t="shared" si="32"/>
        <v>0</v>
      </c>
      <c r="R204" s="1090"/>
      <c r="S204" s="1100"/>
      <c r="U204" s="1058"/>
      <c r="V204" s="1057"/>
      <c r="W204" s="1057"/>
      <c r="X204" s="1058"/>
    </row>
    <row r="205" spans="1:24" s="1101" customFormat="1" ht="12" hidden="1">
      <c r="A205" s="1146" t="s">
        <v>631</v>
      </c>
      <c r="B205" s="1147"/>
      <c r="C205" s="1093"/>
      <c r="D205" s="1136"/>
      <c r="E205" s="1120" t="s">
        <v>632</v>
      </c>
      <c r="F205" s="1080">
        <f>'[2]Summary'!E202/15.6466</f>
        <v>0</v>
      </c>
      <c r="G205" s="1080">
        <f>'[2]Summary'!F202/15.6466</f>
        <v>0</v>
      </c>
      <c r="H205" s="1081">
        <f>'[2]Summary'!G202/15.6466</f>
        <v>0</v>
      </c>
      <c r="I205" s="1081">
        <f>'[2]Summary'!H202/15.6466</f>
        <v>0</v>
      </c>
      <c r="J205" s="1082">
        <f>'[2]Summary'!I202/15.6466</f>
        <v>0</v>
      </c>
      <c r="K205" s="1083"/>
      <c r="L205" s="1107"/>
      <c r="M205" s="1154"/>
      <c r="N205" s="1287"/>
      <c r="O205" s="1158"/>
      <c r="P205" s="1159"/>
      <c r="Q205" s="1089">
        <f t="shared" si="32"/>
        <v>0</v>
      </c>
      <c r="R205" s="1090"/>
      <c r="S205" s="1100"/>
      <c r="U205" s="1058"/>
      <c r="V205" s="1057"/>
      <c r="W205" s="1057"/>
      <c r="X205" s="1058"/>
    </row>
    <row r="206" spans="1:24" s="1101" customFormat="1" ht="12" hidden="1">
      <c r="A206" s="1123" t="s">
        <v>633</v>
      </c>
      <c r="B206" s="1124"/>
      <c r="C206" s="1093"/>
      <c r="D206" s="1136"/>
      <c r="E206" s="1211" t="s">
        <v>634</v>
      </c>
      <c r="F206" s="1080">
        <f>'[2]Summary'!E203/15.6466</f>
        <v>0</v>
      </c>
      <c r="G206" s="1080">
        <f>'[2]Summary'!F203/15.6466</f>
        <v>0</v>
      </c>
      <c r="H206" s="1081">
        <f>'[2]Summary'!G203/15.6466</f>
        <v>0</v>
      </c>
      <c r="I206" s="1081">
        <f>'[2]Summary'!H203/15.6466</f>
        <v>0</v>
      </c>
      <c r="J206" s="1082">
        <f>'[2]Summary'!I203/15.6466</f>
        <v>0</v>
      </c>
      <c r="K206" s="1083"/>
      <c r="L206" s="1107">
        <f>J206+K206</f>
        <v>0</v>
      </c>
      <c r="M206" s="1154"/>
      <c r="N206" s="1287">
        <f>L206+M206</f>
        <v>0</v>
      </c>
      <c r="O206" s="1158"/>
      <c r="P206" s="1328">
        <f>N206+O206</f>
        <v>0</v>
      </c>
      <c r="Q206" s="1089">
        <f t="shared" si="32"/>
        <v>0</v>
      </c>
      <c r="R206" s="1090"/>
      <c r="S206" s="1100"/>
      <c r="U206" s="1058"/>
      <c r="V206" s="1057"/>
      <c r="W206" s="1057"/>
      <c r="X206" s="1058"/>
    </row>
    <row r="207" spans="1:24" s="1101" customFormat="1" ht="12" hidden="1">
      <c r="A207" s="1123" t="s">
        <v>635</v>
      </c>
      <c r="B207" s="1124"/>
      <c r="C207" s="1093"/>
      <c r="D207" s="1136"/>
      <c r="E207" s="1211" t="s">
        <v>636</v>
      </c>
      <c r="F207" s="1080">
        <f>'[2]Summary'!E204/15.6466</f>
        <v>0</v>
      </c>
      <c r="G207" s="1080">
        <f>'[2]Summary'!F204/15.6466</f>
        <v>0</v>
      </c>
      <c r="H207" s="1081">
        <f>'[2]Summary'!G204/15.6466</f>
        <v>0</v>
      </c>
      <c r="I207" s="1081">
        <f>'[2]Summary'!H204/15.6466</f>
        <v>0</v>
      </c>
      <c r="J207" s="1082">
        <f>'[2]Summary'!I204/15.6466</f>
        <v>0</v>
      </c>
      <c r="K207" s="1083"/>
      <c r="L207" s="1107"/>
      <c r="M207" s="1154"/>
      <c r="N207" s="1287"/>
      <c r="O207" s="1158"/>
      <c r="P207" s="1328"/>
      <c r="Q207" s="1089">
        <f t="shared" si="32"/>
        <v>0</v>
      </c>
      <c r="R207" s="1090"/>
      <c r="S207" s="1100"/>
      <c r="U207" s="1058"/>
      <c r="V207" s="1057"/>
      <c r="W207" s="1057"/>
      <c r="X207" s="1058"/>
    </row>
    <row r="208" spans="1:24" s="1101" customFormat="1" ht="12">
      <c r="A208" s="1146" t="s">
        <v>637</v>
      </c>
      <c r="B208" s="1147"/>
      <c r="C208" s="1093"/>
      <c r="D208" s="1136"/>
      <c r="E208" s="1120" t="s">
        <v>638</v>
      </c>
      <c r="F208" s="1080">
        <f>'[2]Summary'!E205/15.6466</f>
        <v>23727.25262996434</v>
      </c>
      <c r="G208" s="1080">
        <f>'[2]Summary'!F205/15.6466</f>
        <v>23471.54212416755</v>
      </c>
      <c r="H208" s="1081">
        <f>'[2]Summary'!G205/15.6466</f>
        <v>22223.337977579795</v>
      </c>
      <c r="I208" s="1081">
        <f>'[2]Summary'!H205/15.6466</f>
        <v>22223.337977579795</v>
      </c>
      <c r="J208" s="1082">
        <f>'[2]Summary'!I205/15.6466</f>
        <v>18170.361867754018</v>
      </c>
      <c r="K208" s="1155">
        <f>K210+K211</f>
        <v>0</v>
      </c>
      <c r="L208" s="1084">
        <f>J208+K208</f>
        <v>18170.361867754018</v>
      </c>
      <c r="M208" s="1154">
        <f>M210+M211</f>
        <v>201.6</v>
      </c>
      <c r="N208" s="1287">
        <f>N210+N211</f>
        <v>18371.96186775402</v>
      </c>
      <c r="O208" s="1158">
        <f>O210+O211</f>
        <v>0</v>
      </c>
      <c r="P208" s="1237">
        <f>P210+P211</f>
        <v>16288.596108419722</v>
      </c>
      <c r="Q208" s="1089">
        <f t="shared" si="32"/>
        <v>-1503.9146523845448</v>
      </c>
      <c r="R208" s="1090">
        <f>N208/I208%</f>
        <v>82.6696776437848</v>
      </c>
      <c r="S208" s="1100"/>
      <c r="U208" s="1058"/>
      <c r="V208" s="1057"/>
      <c r="W208" s="1057"/>
      <c r="X208" s="1058"/>
    </row>
    <row r="209" spans="1:24" s="1101" customFormat="1" ht="12">
      <c r="A209" s="1146"/>
      <c r="B209" s="1147"/>
      <c r="C209" s="1093"/>
      <c r="D209" s="1136"/>
      <c r="E209" s="1079" t="s">
        <v>370</v>
      </c>
      <c r="F209" s="1080">
        <f>'[2]Summary'!E206/15.6466</f>
        <v>0</v>
      </c>
      <c r="G209" s="1080">
        <f>'[2]Summary'!F206/15.6466</f>
        <v>0</v>
      </c>
      <c r="H209" s="1081">
        <f>'[2]Summary'!G206/15.6466</f>
        <v>0</v>
      </c>
      <c r="I209" s="1081">
        <f>'[2]Summary'!H206/15.6466</f>
        <v>0</v>
      </c>
      <c r="J209" s="1082">
        <f>'[2]Summary'!I206/15.6466</f>
        <v>0</v>
      </c>
      <c r="K209" s="1083"/>
      <c r="L209" s="1107"/>
      <c r="M209" s="1154"/>
      <c r="N209" s="1287"/>
      <c r="O209" s="1158"/>
      <c r="P209" s="1159"/>
      <c r="Q209" s="1089">
        <f t="shared" si="32"/>
        <v>0</v>
      </c>
      <c r="R209" s="1090"/>
      <c r="S209" s="1100"/>
      <c r="U209" s="1058"/>
      <c r="V209" s="1057"/>
      <c r="W209" s="1057"/>
      <c r="X209" s="1058"/>
    </row>
    <row r="210" spans="1:24" s="1101" customFormat="1" ht="12">
      <c r="A210" s="1123" t="s">
        <v>639</v>
      </c>
      <c r="B210" s="1124"/>
      <c r="C210" s="1093"/>
      <c r="D210" s="1136"/>
      <c r="E210" s="1211" t="s">
        <v>640</v>
      </c>
      <c r="F210" s="1080">
        <f>'[2]Summary'!E207/15.6466</f>
        <v>23727.188718315803</v>
      </c>
      <c r="G210" s="1080">
        <f>'[2]Summary'!F207/15.6466</f>
        <v>23471.54212416755</v>
      </c>
      <c r="H210" s="1081">
        <f>'[2]Summary'!G207/15.6466</f>
        <v>22223.337977579795</v>
      </c>
      <c r="I210" s="1081">
        <f>'[2]Summary'!H207/15.6466</f>
        <v>22223.337977579795</v>
      </c>
      <c r="J210" s="1082">
        <f>'[2]Summary'!I207/15.6466</f>
        <v>18170.361867754018</v>
      </c>
      <c r="K210" s="1217">
        <f>'[4]hariduse peaspets.'!M228</f>
        <v>0</v>
      </c>
      <c r="L210" s="1084">
        <f>J210+K210</f>
        <v>18170.361867754018</v>
      </c>
      <c r="M210" s="1297">
        <f>'[4]hariduse peaspets.'!Q228</f>
        <v>201.6</v>
      </c>
      <c r="N210" s="1298">
        <f>'[4]hariduse peaspets.'!R228</f>
        <v>18371.96186775402</v>
      </c>
      <c r="O210" s="1219">
        <f>'[4]hariduse peaspets.'!U228</f>
        <v>0</v>
      </c>
      <c r="P210" s="1295">
        <f>'[4]hariduse peaspets.'!V228</f>
        <v>18221.596108419722</v>
      </c>
      <c r="Q210" s="1089">
        <f t="shared" si="32"/>
        <v>-1503.8507407360084</v>
      </c>
      <c r="R210" s="1090">
        <f aca="true" t="shared" si="41" ref="R210:R216">N210/I210%</f>
        <v>82.6696776437848</v>
      </c>
      <c r="S210" s="1100"/>
      <c r="U210" s="1058"/>
      <c r="V210" s="1057"/>
      <c r="W210" s="1057"/>
      <c r="X210" s="1058"/>
    </row>
    <row r="211" spans="1:24" s="1101" customFormat="1" ht="12" hidden="1">
      <c r="A211" s="1123" t="s">
        <v>641</v>
      </c>
      <c r="B211" s="1124"/>
      <c r="C211" s="1093"/>
      <c r="D211" s="1136"/>
      <c r="E211" s="1211" t="s">
        <v>642</v>
      </c>
      <c r="F211" s="1080">
        <f>'[2]Summary'!E208/15.6466</f>
        <v>0</v>
      </c>
      <c r="G211" s="1080">
        <f>'[2]Summary'!F208/15.6466</f>
        <v>0</v>
      </c>
      <c r="H211" s="1081">
        <f>'[2]Summary'!G208/15.6466</f>
        <v>0</v>
      </c>
      <c r="I211" s="1081">
        <f>'[2]Summary'!H208/15.6466</f>
        <v>0</v>
      </c>
      <c r="J211" s="1082">
        <f>'[2]Summary'!I208/15.6466</f>
        <v>0</v>
      </c>
      <c r="K211" s="1217"/>
      <c r="L211" s="1218"/>
      <c r="M211" s="1297"/>
      <c r="N211" s="1298"/>
      <c r="O211" s="1219">
        <f>'[4]buroo'!W228</f>
        <v>0</v>
      </c>
      <c r="P211" s="1295">
        <f>'[4]buroo'!X228</f>
        <v>-1933</v>
      </c>
      <c r="Q211" s="1089">
        <f t="shared" si="32"/>
        <v>0</v>
      </c>
      <c r="R211" s="1090" t="e">
        <f t="shared" si="41"/>
        <v>#DIV/0!</v>
      </c>
      <c r="S211" s="1100"/>
      <c r="U211" s="1058"/>
      <c r="V211" s="1057"/>
      <c r="W211" s="1057"/>
      <c r="X211" s="1058"/>
    </row>
    <row r="212" spans="1:24" s="1101" customFormat="1" ht="12" hidden="1">
      <c r="A212" s="1123" t="s">
        <v>643</v>
      </c>
      <c r="B212" s="1124"/>
      <c r="C212" s="1093"/>
      <c r="D212" s="1136"/>
      <c r="E212" s="1211" t="s">
        <v>644</v>
      </c>
      <c r="F212" s="1080">
        <f>'[2]Summary'!E209/15.6466</f>
        <v>0</v>
      </c>
      <c r="G212" s="1080">
        <f>'[2]Summary'!F209/15.6466</f>
        <v>0</v>
      </c>
      <c r="H212" s="1081">
        <f>'[2]Summary'!G209/15.6466</f>
        <v>0</v>
      </c>
      <c r="I212" s="1081">
        <f>'[2]Summary'!H209/15.6466</f>
        <v>0</v>
      </c>
      <c r="J212" s="1082">
        <f>'[2]Summary'!I209/15.6466</f>
        <v>0</v>
      </c>
      <c r="K212" s="1217"/>
      <c r="L212" s="1218"/>
      <c r="M212" s="1297"/>
      <c r="N212" s="1298"/>
      <c r="O212" s="1219"/>
      <c r="P212" s="1295"/>
      <c r="Q212" s="1089">
        <f t="shared" si="32"/>
        <v>0</v>
      </c>
      <c r="R212" s="1090" t="e">
        <f t="shared" si="41"/>
        <v>#DIV/0!</v>
      </c>
      <c r="S212" s="1100"/>
      <c r="U212" s="1058"/>
      <c r="V212" s="1057"/>
      <c r="W212" s="1057"/>
      <c r="X212" s="1058"/>
    </row>
    <row r="213" spans="1:24" s="1101" customFormat="1" ht="11.25">
      <c r="A213" s="1146">
        <v>10</v>
      </c>
      <c r="B213" s="1147"/>
      <c r="C213" s="1093"/>
      <c r="D213" s="1094"/>
      <c r="E213" s="1152" t="s">
        <v>645</v>
      </c>
      <c r="F213" s="1080">
        <f>'[2]Summary'!E210/15.6466</f>
        <v>1121613.8452443343</v>
      </c>
      <c r="G213" s="1080">
        <f>'[2]Summary'!F210/15.6466</f>
        <v>1723314.4580931321</v>
      </c>
      <c r="H213" s="1081">
        <f>'[2]Summary'!G210/15.6466</f>
        <v>1049001.6668157938</v>
      </c>
      <c r="I213" s="1081">
        <f>'[2]Summary'!H210/15.6466</f>
        <v>1513474.0516150475</v>
      </c>
      <c r="J213" s="1154">
        <f aca="true" t="shared" si="42" ref="J213:O213">J214+J218+J222+J229+J228+J246</f>
        <v>705804.0570858845</v>
      </c>
      <c r="K213" s="1155">
        <f t="shared" si="42"/>
        <v>747652.724</v>
      </c>
      <c r="L213" s="1107">
        <f t="shared" si="42"/>
        <v>1453456.5384005727</v>
      </c>
      <c r="M213" s="1154">
        <f>M214+M218+M222+M229+M228+M246+M221</f>
        <v>131288.24</v>
      </c>
      <c r="N213" s="1154">
        <f>N214+N218+N222+N229+N228+N246+N221</f>
        <v>1584744.7784005727</v>
      </c>
      <c r="O213" s="1156">
        <f t="shared" si="42"/>
        <v>0</v>
      </c>
      <c r="P213" s="1141">
        <f>SUM(P214:P216)</f>
        <v>143981.14309818108</v>
      </c>
      <c r="Q213" s="1089">
        <f aca="true" t="shared" si="43" ref="Q213:Q277">I213-F213</f>
        <v>391860.2063707132</v>
      </c>
      <c r="R213" s="1090">
        <f t="shared" si="41"/>
        <v>104.70908151411457</v>
      </c>
      <c r="S213" s="1100"/>
      <c r="U213" s="1058"/>
      <c r="V213" s="1057"/>
      <c r="W213" s="1057"/>
      <c r="X213" s="1058"/>
    </row>
    <row r="214" spans="1:24" s="1101" customFormat="1" ht="12">
      <c r="A214" s="1146">
        <v>101</v>
      </c>
      <c r="B214" s="1147"/>
      <c r="C214" s="1093"/>
      <c r="D214" s="1136"/>
      <c r="E214" s="1120" t="s">
        <v>646</v>
      </c>
      <c r="F214" s="1080">
        <f>'[2]Summary'!E211/15.6466</f>
        <v>70941.92987613923</v>
      </c>
      <c r="G214" s="1080">
        <f>'[2]Summary'!F211/15.6466</f>
        <v>86002.70985389798</v>
      </c>
      <c r="H214" s="1081">
        <f>'[2]Summary'!G211/15.6466</f>
        <v>44738.15397594366</v>
      </c>
      <c r="I214" s="1081">
        <f>'[2]Summary'!H211/15.6466</f>
        <v>110391.2671123439</v>
      </c>
      <c r="J214" s="1329">
        <f>'[2]Summary'!I211/15.6466</f>
        <v>83085.14309818108</v>
      </c>
      <c r="K214" s="1083">
        <f aca="true" t="shared" si="44" ref="K214:P214">SUM(K215:K217)</f>
        <v>60896</v>
      </c>
      <c r="L214" s="1107">
        <f t="shared" si="44"/>
        <v>143981.14309818108</v>
      </c>
      <c r="M214" s="1154">
        <f t="shared" si="44"/>
        <v>0</v>
      </c>
      <c r="N214" s="1287">
        <f t="shared" si="44"/>
        <v>143981.14309818108</v>
      </c>
      <c r="O214" s="1156">
        <f t="shared" si="44"/>
        <v>0</v>
      </c>
      <c r="P214" s="1141">
        <f t="shared" si="44"/>
        <v>143981.14309818108</v>
      </c>
      <c r="Q214" s="1089">
        <f t="shared" si="43"/>
        <v>39449.33723620468</v>
      </c>
      <c r="R214" s="1090">
        <f t="shared" si="41"/>
        <v>130.42801923059108</v>
      </c>
      <c r="S214" s="1100"/>
      <c r="U214" s="1058"/>
      <c r="V214" s="1057"/>
      <c r="W214" s="1057"/>
      <c r="X214" s="1058"/>
    </row>
    <row r="215" spans="1:24" s="1101" customFormat="1" ht="12" hidden="1">
      <c r="A215" s="1123">
        <v>10110</v>
      </c>
      <c r="B215" s="1124"/>
      <c r="C215" s="1093"/>
      <c r="D215" s="1136"/>
      <c r="E215" s="1079" t="s">
        <v>647</v>
      </c>
      <c r="F215" s="1080">
        <f>'[2]Summary'!E212/15.6466</f>
        <v>0</v>
      </c>
      <c r="G215" s="1080">
        <f>'[2]Summary'!F212/15.6466</f>
        <v>0</v>
      </c>
      <c r="H215" s="1081">
        <f>'[2]Summary'!G212/15.6466</f>
        <v>0</v>
      </c>
      <c r="I215" s="1081">
        <f>'[2]Summary'!H212/15.6466</f>
        <v>0</v>
      </c>
      <c r="J215" s="1329">
        <f>'[2]Summary'!I212/15.6466</f>
        <v>0</v>
      </c>
      <c r="K215" s="1083"/>
      <c r="L215" s="1107">
        <f>J215+K215</f>
        <v>0</v>
      </c>
      <c r="M215" s="1154"/>
      <c r="N215" s="1287">
        <f>L215+M215</f>
        <v>0</v>
      </c>
      <c r="O215" s="1158"/>
      <c r="P215" s="1328">
        <f>N215+O215</f>
        <v>0</v>
      </c>
      <c r="Q215" s="1089">
        <f t="shared" si="43"/>
        <v>0</v>
      </c>
      <c r="R215" s="1090" t="e">
        <f t="shared" si="41"/>
        <v>#DIV/0!</v>
      </c>
      <c r="S215" s="1100"/>
      <c r="U215" s="1058"/>
      <c r="V215" s="1057"/>
      <c r="W215" s="1057"/>
      <c r="X215" s="1058"/>
    </row>
    <row r="216" spans="1:24" s="1101" customFormat="1" ht="12" hidden="1">
      <c r="A216" s="1123">
        <v>10120</v>
      </c>
      <c r="B216" s="1124"/>
      <c r="C216" s="1093"/>
      <c r="D216" s="1136"/>
      <c r="E216" s="1079" t="s">
        <v>648</v>
      </c>
      <c r="F216" s="1080">
        <f>'[2]Summary'!E213/15.6466</f>
        <v>70941.92987613923</v>
      </c>
      <c r="G216" s="1080">
        <f>'[2]Summary'!F213/15.6466</f>
        <v>0</v>
      </c>
      <c r="H216" s="1081">
        <f>'[2]Summary'!G213/15.6466</f>
        <v>0</v>
      </c>
      <c r="I216" s="1081">
        <f>'[2]Summary'!H213/15.6466</f>
        <v>0</v>
      </c>
      <c r="J216" s="1329">
        <f>'[2]Summary'!I213/15.6466</f>
        <v>0</v>
      </c>
      <c r="K216" s="1128"/>
      <c r="L216" s="1084">
        <f>J216+K216</f>
        <v>0</v>
      </c>
      <c r="M216" s="1285"/>
      <c r="N216" s="1291">
        <f>L216+M216</f>
        <v>0</v>
      </c>
      <c r="O216" s="1158"/>
      <c r="P216" s="1328">
        <f>N216+O216</f>
        <v>0</v>
      </c>
      <c r="Q216" s="1089">
        <f t="shared" si="43"/>
        <v>-70941.92987613923</v>
      </c>
      <c r="R216" s="1090" t="e">
        <f t="shared" si="41"/>
        <v>#DIV/0!</v>
      </c>
      <c r="S216" s="1100"/>
      <c r="U216" s="1058"/>
      <c r="V216" s="1057"/>
      <c r="W216" s="1057"/>
      <c r="X216" s="1058"/>
    </row>
    <row r="217" spans="1:24" s="1101" customFormat="1" ht="12">
      <c r="A217" s="1146">
        <v>10121</v>
      </c>
      <c r="B217" s="1147"/>
      <c r="C217" s="1093"/>
      <c r="D217" s="1136"/>
      <c r="E217" s="1079" t="s">
        <v>649</v>
      </c>
      <c r="F217" s="1080">
        <f>'[2]Summary'!E214/15.6466</f>
        <v>0</v>
      </c>
      <c r="G217" s="1080">
        <f>'[2]Summary'!F214/15.6466</f>
        <v>86002.70985389798</v>
      </c>
      <c r="H217" s="1081">
        <f>'[2]Summary'!G214/15.6466</f>
        <v>44738.15397594366</v>
      </c>
      <c r="I217" s="1081">
        <f>'[2]Summary'!H214/15.6466</f>
        <v>110391.2671123439</v>
      </c>
      <c r="J217" s="1329">
        <f>'[2]Summary'!I214/15.6466</f>
        <v>83085.14309818108</v>
      </c>
      <c r="K217" s="1128">
        <f>41246+19650</f>
        <v>60896</v>
      </c>
      <c r="L217" s="1084">
        <f>J217+K217</f>
        <v>143981.14309818108</v>
      </c>
      <c r="M217" s="1154"/>
      <c r="N217" s="1287">
        <f>L217+M217</f>
        <v>143981.14309818108</v>
      </c>
      <c r="O217" s="1158"/>
      <c r="P217" s="1328">
        <f>N217+O217</f>
        <v>143981.14309818108</v>
      </c>
      <c r="Q217" s="1089">
        <f t="shared" si="43"/>
        <v>110391.2671123439</v>
      </c>
      <c r="R217" s="1090"/>
      <c r="S217" s="1100"/>
      <c r="U217" s="1058"/>
      <c r="V217" s="1057"/>
      <c r="W217" s="1057"/>
      <c r="X217" s="1058"/>
    </row>
    <row r="218" spans="1:24" s="1118" customFormat="1" ht="12">
      <c r="A218" s="1091">
        <v>102</v>
      </c>
      <c r="B218" s="1092"/>
      <c r="C218" s="1113"/>
      <c r="D218" s="1114"/>
      <c r="E218" s="1120" t="s">
        <v>650</v>
      </c>
      <c r="F218" s="1080">
        <f>'[2]Summary'!E215/15.6466</f>
        <v>102258.63765929978</v>
      </c>
      <c r="G218" s="1080">
        <f>'[2]Summary'!F215/15.6466</f>
        <v>134214.46192783097</v>
      </c>
      <c r="H218" s="1081">
        <f>'[2]Summary'!G215/15.6466</f>
        <v>83085.14309818108</v>
      </c>
      <c r="I218" s="1081">
        <f>'[2]Summary'!H215/15.6466</f>
        <v>57520.48368335613</v>
      </c>
      <c r="J218" s="1329">
        <f>'[2]Summary'!I215/15.6466</f>
        <v>15977.912134265593</v>
      </c>
      <c r="K218" s="1252">
        <f aca="true" t="shared" si="45" ref="K218:P218">SUM(K219:K220)</f>
        <v>4784</v>
      </c>
      <c r="L218" s="1112">
        <f t="shared" si="45"/>
        <v>20761.912134265593</v>
      </c>
      <c r="M218" s="1290">
        <f t="shared" si="45"/>
        <v>-192</v>
      </c>
      <c r="N218" s="1293">
        <f>SUM(N219:N220)</f>
        <v>20569.912134265593</v>
      </c>
      <c r="O218" s="1115">
        <f t="shared" si="45"/>
        <v>0</v>
      </c>
      <c r="P218" s="1116">
        <f t="shared" si="45"/>
        <v>0</v>
      </c>
      <c r="Q218" s="1089">
        <f t="shared" si="43"/>
        <v>-44738.15397594366</v>
      </c>
      <c r="R218" s="1090">
        <f>N218/I218%</f>
        <v>35.7610208</v>
      </c>
      <c r="S218" s="1117"/>
      <c r="U218" s="1058"/>
      <c r="V218" s="1057"/>
      <c r="W218" s="1057"/>
      <c r="X218" s="1058"/>
    </row>
    <row r="219" spans="1:24" s="1118" customFormat="1" ht="12">
      <c r="A219" s="1137">
        <v>10201</v>
      </c>
      <c r="B219" s="1138"/>
      <c r="C219" s="1139">
        <v>4138</v>
      </c>
      <c r="D219" s="1114"/>
      <c r="E219" s="1211" t="s">
        <v>651</v>
      </c>
      <c r="F219" s="1080">
        <f>'[2]Summary'!E216/15.6466</f>
        <v>102258.63765929978</v>
      </c>
      <c r="G219" s="1080">
        <f>'[2]Summary'!F216/15.6466</f>
        <v>134214.46192783097</v>
      </c>
      <c r="H219" s="1081">
        <f>'[2]Summary'!G216/15.6466</f>
        <v>83085.14309818108</v>
      </c>
      <c r="I219" s="1081">
        <f>'[2]Summary'!H216/15.6466</f>
        <v>57520.48368335613</v>
      </c>
      <c r="J219" s="1329">
        <f>'[2]Summary'!I216/15.6466</f>
        <v>15977.912134265593</v>
      </c>
      <c r="K219" s="1096">
        <v>4592</v>
      </c>
      <c r="L219" s="1084">
        <f>J219+K219</f>
        <v>20569.912134265593</v>
      </c>
      <c r="M219" s="1285"/>
      <c r="N219" s="1298">
        <f>L219+M219</f>
        <v>20569.912134265593</v>
      </c>
      <c r="O219" s="1212"/>
      <c r="P219" s="1330"/>
      <c r="Q219" s="1089">
        <f t="shared" si="43"/>
        <v>-44738.15397594366</v>
      </c>
      <c r="R219" s="1090">
        <f>N219/I219%</f>
        <v>35.7610208</v>
      </c>
      <c r="S219" s="1117"/>
      <c r="U219" s="1058"/>
      <c r="V219" s="1057"/>
      <c r="W219" s="1057"/>
      <c r="X219" s="1058"/>
    </row>
    <row r="220" spans="1:24" s="1224" customFormat="1" ht="12">
      <c r="A220" s="1137">
        <v>10201</v>
      </c>
      <c r="B220" s="1138"/>
      <c r="C220" s="1139"/>
      <c r="D220" s="1216"/>
      <c r="E220" s="1211" t="s">
        <v>651</v>
      </c>
      <c r="F220" s="1080">
        <f>'[2]Summary'!E217/15.6466</f>
        <v>0</v>
      </c>
      <c r="G220" s="1080">
        <f>'[2]Summary'!F217/15.6466</f>
        <v>0</v>
      </c>
      <c r="H220" s="1081">
        <f>'[2]Summary'!G217/15.6466</f>
        <v>0</v>
      </c>
      <c r="I220" s="1081">
        <f>'[2]Summary'!H217/15.6466</f>
        <v>0</v>
      </c>
      <c r="J220" s="1329">
        <f>'[2]Summary'!I217/15.6466</f>
        <v>0</v>
      </c>
      <c r="K220" s="1217">
        <v>192</v>
      </c>
      <c r="L220" s="1218">
        <f>J220+K220</f>
        <v>192</v>
      </c>
      <c r="M220" s="1297">
        <v>-192</v>
      </c>
      <c r="N220" s="1298">
        <f>L220+M220</f>
        <v>0</v>
      </c>
      <c r="O220" s="1221"/>
      <c r="P220" s="1222">
        <f>N220+O220</f>
        <v>0</v>
      </c>
      <c r="Q220" s="1089">
        <f t="shared" si="43"/>
        <v>0</v>
      </c>
      <c r="R220" s="1090"/>
      <c r="S220" s="1223"/>
      <c r="U220" s="1058"/>
      <c r="V220" s="1057"/>
      <c r="W220" s="1057"/>
      <c r="X220" s="1058"/>
    </row>
    <row r="221" spans="1:24" s="1118" customFormat="1" ht="12">
      <c r="A221" s="1091">
        <v>10300</v>
      </c>
      <c r="B221" s="1092"/>
      <c r="C221" s="1139"/>
      <c r="D221" s="1114"/>
      <c r="E221" s="1120" t="s">
        <v>652</v>
      </c>
      <c r="F221" s="1080">
        <f>'[2]Summary'!E218/15.6466</f>
        <v>0</v>
      </c>
      <c r="G221" s="1080">
        <f>'[2]Summary'!F218/15.6466</f>
        <v>0</v>
      </c>
      <c r="H221" s="1081">
        <f>'[2]Summary'!G218/15.6466</f>
        <v>0</v>
      </c>
      <c r="I221" s="1081">
        <f>'[2]Summary'!H218/15.6466</f>
        <v>0</v>
      </c>
      <c r="J221" s="1329">
        <f>'[2]Summary'!I218/15.6466</f>
        <v>0</v>
      </c>
      <c r="K221" s="1096"/>
      <c r="L221" s="1112"/>
      <c r="M221" s="1290">
        <f>577+382</f>
        <v>959</v>
      </c>
      <c r="N221" s="1298">
        <f>L221+M221</f>
        <v>959</v>
      </c>
      <c r="O221" s="1212"/>
      <c r="P221" s="1330"/>
      <c r="Q221" s="1089">
        <f t="shared" si="43"/>
        <v>0</v>
      </c>
      <c r="R221" s="1090"/>
      <c r="S221" s="1117"/>
      <c r="U221" s="1058"/>
      <c r="V221" s="1057"/>
      <c r="W221" s="1057"/>
      <c r="X221" s="1058"/>
    </row>
    <row r="222" spans="1:24" s="1118" customFormat="1" ht="12">
      <c r="A222" s="1091">
        <v>104</v>
      </c>
      <c r="B222" s="1092"/>
      <c r="C222" s="1139"/>
      <c r="D222" s="1114"/>
      <c r="E222" s="1120" t="s">
        <v>653</v>
      </c>
      <c r="F222" s="1080">
        <f>'[2]Summary'!E219/15.6466</f>
        <v>99829.99501489142</v>
      </c>
      <c r="G222" s="1080">
        <f>'[2]Summary'!F219/15.6466</f>
        <v>128522.17095087751</v>
      </c>
      <c r="H222" s="1081">
        <f>'[2]Summary'!G219/15.6466</f>
        <v>99829.99501489142</v>
      </c>
      <c r="I222" s="1081">
        <f>'[2]Summary'!H219/15.6466</f>
        <v>123480.56446767988</v>
      </c>
      <c r="J222" s="1329">
        <f>'[2]Summary'!I219/15.6466</f>
        <v>74265.33560006646</v>
      </c>
      <c r="K222" s="1252">
        <f aca="true" t="shared" si="46" ref="K222:P222">SUM(K223:K225)</f>
        <v>14403</v>
      </c>
      <c r="L222" s="1112">
        <f t="shared" si="46"/>
        <v>88668.33560006646</v>
      </c>
      <c r="M222" s="1290">
        <f>SUM(M223:M226)</f>
        <v>12747</v>
      </c>
      <c r="N222" s="1293">
        <f>SUM(N223:N226)</f>
        <v>101415.33560006646</v>
      </c>
      <c r="O222" s="1115">
        <f t="shared" si="46"/>
        <v>0</v>
      </c>
      <c r="P222" s="1116">
        <f t="shared" si="46"/>
        <v>99305.33560006646</v>
      </c>
      <c r="Q222" s="1089">
        <f t="shared" si="43"/>
        <v>23650.569452788463</v>
      </c>
      <c r="R222" s="1090">
        <f>N222/I222%</f>
        <v>82.13060576558279</v>
      </c>
      <c r="S222" s="1117"/>
      <c r="U222" s="1058"/>
      <c r="V222" s="1057"/>
      <c r="W222" s="1057"/>
      <c r="X222" s="1058"/>
    </row>
    <row r="223" spans="1:24" s="1118" customFormat="1" ht="12" hidden="1">
      <c r="A223" s="1137">
        <v>10400</v>
      </c>
      <c r="B223" s="1138"/>
      <c r="C223" s="1139"/>
      <c r="D223" s="1114"/>
      <c r="E223" s="1211" t="s">
        <v>654</v>
      </c>
      <c r="F223" s="1080">
        <f>'[2]Summary'!E220/15.6466</f>
        <v>0</v>
      </c>
      <c r="G223" s="1080">
        <f>'[2]Summary'!F220/15.6466</f>
        <v>0</v>
      </c>
      <c r="H223" s="1081">
        <f>'[2]Summary'!G220/15.6466</f>
        <v>0</v>
      </c>
      <c r="I223" s="1081">
        <f>'[2]Summary'!H220/15.6466</f>
        <v>0</v>
      </c>
      <c r="J223" s="1329">
        <f>'[2]Summary'!I220/15.6466</f>
        <v>0</v>
      </c>
      <c r="K223" s="1096"/>
      <c r="L223" s="1107">
        <f>J223+K223</f>
        <v>0</v>
      </c>
      <c r="M223" s="1154"/>
      <c r="N223" s="1287">
        <f>L223+M223</f>
        <v>0</v>
      </c>
      <c r="O223" s="1158"/>
      <c r="P223" s="1328">
        <f>N223+O223</f>
        <v>0</v>
      </c>
      <c r="Q223" s="1089">
        <f t="shared" si="43"/>
        <v>0</v>
      </c>
      <c r="R223" s="1090" t="e">
        <f>N223/I223%</f>
        <v>#DIV/0!</v>
      </c>
      <c r="S223" s="1117"/>
      <c r="U223" s="1058"/>
      <c r="V223" s="1057"/>
      <c r="W223" s="1057"/>
      <c r="X223" s="1058"/>
    </row>
    <row r="224" spans="1:24" s="1118" customFormat="1" ht="12">
      <c r="A224" s="1137">
        <v>10401</v>
      </c>
      <c r="B224" s="1138"/>
      <c r="C224" s="1139">
        <v>4520</v>
      </c>
      <c r="D224" s="1114"/>
      <c r="E224" s="1211" t="s">
        <v>655</v>
      </c>
      <c r="F224" s="1080">
        <f>'[2]Summary'!E221/15.6466</f>
        <v>3962.522209297867</v>
      </c>
      <c r="G224" s="1080">
        <f>'[2]Summary'!F221/15.6466</f>
        <v>3962.522209297867</v>
      </c>
      <c r="H224" s="1081">
        <f>'[2]Summary'!G221/15.6466</f>
        <v>3962.522209297867</v>
      </c>
      <c r="I224" s="1081">
        <f>'[2]Summary'!H221/15.6466</f>
        <v>3962.522209297867</v>
      </c>
      <c r="J224" s="1329">
        <f>'[2]Summary'!I221/15.6466</f>
        <v>3962.522209297867</v>
      </c>
      <c r="K224" s="1217">
        <v>781</v>
      </c>
      <c r="L224" s="1218">
        <f>J224+K224</f>
        <v>4743.522209297867</v>
      </c>
      <c r="M224" s="1297">
        <v>2000</v>
      </c>
      <c r="N224" s="1298">
        <f>L224+M224</f>
        <v>6743.522209297867</v>
      </c>
      <c r="O224" s="1221"/>
      <c r="P224" s="1222">
        <f>N224+O224</f>
        <v>6743.522209297867</v>
      </c>
      <c r="Q224" s="1089">
        <f t="shared" si="43"/>
        <v>0</v>
      </c>
      <c r="R224" s="1090">
        <f>N224/I224%</f>
        <v>170.18257193548388</v>
      </c>
      <c r="S224" s="1117"/>
      <c r="U224" s="1058"/>
      <c r="V224" s="1057"/>
      <c r="W224" s="1057"/>
      <c r="X224" s="1058"/>
    </row>
    <row r="225" spans="1:24" s="1118" customFormat="1" ht="10.5" customHeight="1">
      <c r="A225" s="1137">
        <v>104021</v>
      </c>
      <c r="B225" s="1138"/>
      <c r="C225" s="1139">
        <v>4130</v>
      </c>
      <c r="D225" s="1114"/>
      <c r="E225" s="1211" t="s">
        <v>656</v>
      </c>
      <c r="F225" s="1080">
        <f>'[2]Summary'!E222/15.6466</f>
        <v>95867.47280559356</v>
      </c>
      <c r="G225" s="1080">
        <f>'[2]Summary'!F222/15.6466</f>
        <v>124559.64874157964</v>
      </c>
      <c r="H225" s="1081">
        <f>'[2]Summary'!G222/15.6466</f>
        <v>95867.47280559356</v>
      </c>
      <c r="I225" s="1081">
        <f>'[2]Summary'!H222/15.6466</f>
        <v>119518.04225838202</v>
      </c>
      <c r="J225" s="1329">
        <f>'[2]Summary'!I222/15.6466</f>
        <v>70302.8133907686</v>
      </c>
      <c r="K225" s="1217">
        <v>13622</v>
      </c>
      <c r="L225" s="1218">
        <f>J225+K225</f>
        <v>83924.8133907686</v>
      </c>
      <c r="M225" s="1297">
        <v>8637</v>
      </c>
      <c r="N225" s="1298">
        <f>L225+M225</f>
        <v>92561.8133907686</v>
      </c>
      <c r="O225" s="1221"/>
      <c r="P225" s="1222">
        <f>N225+O225</f>
        <v>92561.8133907686</v>
      </c>
      <c r="Q225" s="1089">
        <f t="shared" si="43"/>
        <v>23650.569452788463</v>
      </c>
      <c r="R225" s="1090">
        <f>N225/I225%</f>
        <v>77.44589155055128</v>
      </c>
      <c r="S225" s="1117"/>
      <c r="U225" s="1058"/>
      <c r="V225" s="1057"/>
      <c r="W225" s="1057"/>
      <c r="X225" s="1058"/>
    </row>
    <row r="226" spans="1:24" s="1118" customFormat="1" ht="10.5" customHeight="1">
      <c r="A226" s="1137">
        <v>104022</v>
      </c>
      <c r="B226" s="1138"/>
      <c r="C226" s="1139"/>
      <c r="D226" s="1114"/>
      <c r="E226" s="1211" t="s">
        <v>657</v>
      </c>
      <c r="F226" s="1080"/>
      <c r="G226" s="1080"/>
      <c r="H226" s="1081"/>
      <c r="I226" s="1081"/>
      <c r="J226" s="1329"/>
      <c r="K226" s="1217"/>
      <c r="L226" s="1218"/>
      <c r="M226" s="1297">
        <v>2110</v>
      </c>
      <c r="N226" s="1298">
        <f>L226+M226</f>
        <v>2110</v>
      </c>
      <c r="O226" s="1221"/>
      <c r="P226" s="1222"/>
      <c r="Q226" s="1089"/>
      <c r="R226" s="1090"/>
      <c r="S226" s="1117"/>
      <c r="U226" s="1058"/>
      <c r="V226" s="1057"/>
      <c r="W226" s="1057"/>
      <c r="X226" s="1058"/>
    </row>
    <row r="227" spans="1:24" s="1118" customFormat="1" ht="12" hidden="1">
      <c r="A227" s="1091">
        <v>10500</v>
      </c>
      <c r="B227" s="1092"/>
      <c r="C227" s="1139"/>
      <c r="D227" s="1114"/>
      <c r="E227" s="1120" t="s">
        <v>658</v>
      </c>
      <c r="F227" s="1080">
        <f>'[2]Summary'!E223/15.6466</f>
        <v>0</v>
      </c>
      <c r="G227" s="1080">
        <f>'[2]Summary'!F223/15.6466</f>
        <v>0</v>
      </c>
      <c r="H227" s="1081">
        <f>'[2]Summary'!G223/15.6466</f>
        <v>0</v>
      </c>
      <c r="I227" s="1081">
        <f>'[2]Summary'!H223/15.6466</f>
        <v>0</v>
      </c>
      <c r="J227" s="1329">
        <f>'[2]Summary'!I223/15.6466</f>
        <v>0</v>
      </c>
      <c r="K227" s="1096"/>
      <c r="L227" s="1112"/>
      <c r="M227" s="1290"/>
      <c r="N227" s="1293"/>
      <c r="O227" s="1212"/>
      <c r="P227" s="1330"/>
      <c r="Q227" s="1089">
        <f t="shared" si="43"/>
        <v>0</v>
      </c>
      <c r="R227" s="1090" t="e">
        <f aca="true" t="shared" si="47" ref="R227:R232">N227/I227%</f>
        <v>#DIV/0!</v>
      </c>
      <c r="S227" s="1117"/>
      <c r="U227" s="1058"/>
      <c r="V227" s="1057"/>
      <c r="W227" s="1057"/>
      <c r="X227" s="1058"/>
    </row>
    <row r="228" spans="1:24" s="1118" customFormat="1" ht="12" hidden="1">
      <c r="A228" s="1091">
        <v>10600</v>
      </c>
      <c r="B228" s="1092"/>
      <c r="C228" s="1139"/>
      <c r="D228" s="1114"/>
      <c r="E228" s="1120" t="s">
        <v>659</v>
      </c>
      <c r="F228" s="1080">
        <f>'[2]Summary'!E224/15.6466</f>
        <v>0</v>
      </c>
      <c r="G228" s="1080">
        <f>'[2]Summary'!F224/15.6466</f>
        <v>0</v>
      </c>
      <c r="H228" s="1081">
        <f>'[2]Summary'!G224/15.6466</f>
        <v>0</v>
      </c>
      <c r="I228" s="1081">
        <f>'[2]Summary'!H224/15.6466</f>
        <v>0</v>
      </c>
      <c r="J228" s="1329">
        <f>'[2]Summary'!I224/15.6466</f>
        <v>0</v>
      </c>
      <c r="K228" s="1096"/>
      <c r="L228" s="1112"/>
      <c r="M228" s="1290"/>
      <c r="N228" s="1293"/>
      <c r="O228" s="1212"/>
      <c r="P228" s="1330"/>
      <c r="Q228" s="1089">
        <f t="shared" si="43"/>
        <v>0</v>
      </c>
      <c r="R228" s="1090" t="e">
        <f t="shared" si="47"/>
        <v>#DIV/0!</v>
      </c>
      <c r="S228" s="1117"/>
      <c r="U228" s="1058"/>
      <c r="V228" s="1057"/>
      <c r="W228" s="1057"/>
      <c r="X228" s="1058"/>
    </row>
    <row r="229" spans="1:24" s="1118" customFormat="1" ht="11.25">
      <c r="A229" s="1091">
        <v>107</v>
      </c>
      <c r="B229" s="1092"/>
      <c r="C229" s="1139"/>
      <c r="D229" s="1331"/>
      <c r="E229" s="1120" t="s">
        <v>660</v>
      </c>
      <c r="F229" s="1080">
        <f>'[2]Summary'!E225/15.6466</f>
        <v>709948.4250891568</v>
      </c>
      <c r="G229" s="1080">
        <f>'[2]Summary'!F225/15.6466</f>
        <v>1231720.5015786178</v>
      </c>
      <c r="H229" s="1081">
        <f>'[2]Summary'!G225/15.6466</f>
        <v>688201.1734178672</v>
      </c>
      <c r="I229" s="1081">
        <f>'[2]Summary'!H225/15.6466</f>
        <v>1080098.6857208596</v>
      </c>
      <c r="J229" s="1097">
        <f aca="true" t="shared" si="48" ref="J229:P229">J230+J233+J237</f>
        <v>420894.8830544655</v>
      </c>
      <c r="K229" s="1252">
        <f>K230+K233+K237</f>
        <v>656417.304</v>
      </c>
      <c r="L229" s="1112">
        <f t="shared" si="48"/>
        <v>1077311.9443691538</v>
      </c>
      <c r="M229" s="1290">
        <f>M230+M233+M237</f>
        <v>109844</v>
      </c>
      <c r="N229" s="1293">
        <f t="shared" si="48"/>
        <v>1187155.9443691538</v>
      </c>
      <c r="O229" s="1115">
        <f t="shared" si="48"/>
        <v>0</v>
      </c>
      <c r="P229" s="1116">
        <f t="shared" si="48"/>
        <v>1186149.9029773881</v>
      </c>
      <c r="Q229" s="1089">
        <f t="shared" si="43"/>
        <v>370150.2606317027</v>
      </c>
      <c r="R229" s="1090">
        <f t="shared" si="47"/>
        <v>109.91180343644655</v>
      </c>
      <c r="S229" s="1117"/>
      <c r="U229" s="1058"/>
      <c r="V229" s="1057"/>
      <c r="W229" s="1057"/>
      <c r="X229" s="1058"/>
    </row>
    <row r="230" spans="1:24" s="1118" customFormat="1" ht="13.5" customHeight="1">
      <c r="A230" s="1137">
        <v>10700</v>
      </c>
      <c r="B230" s="1138"/>
      <c r="C230" s="1139"/>
      <c r="D230" s="1114"/>
      <c r="E230" s="1211" t="s">
        <v>661</v>
      </c>
      <c r="F230" s="1080">
        <f>'[2]Summary'!E226/15.6466</f>
        <v>279950.85373180115</v>
      </c>
      <c r="G230" s="1080">
        <f>'[2]Summary'!F226/15.6466</f>
        <v>329827.5413188808</v>
      </c>
      <c r="H230" s="1081">
        <f>'[2]Summary'!G226/15.6466</f>
        <v>307699.27524190565</v>
      </c>
      <c r="I230" s="1081">
        <f>'[2]Summary'!H226/15.6466</f>
        <v>323796.29414697125</v>
      </c>
      <c r="J230" s="1329">
        <f>'[2]Summary'!I226/15.6466</f>
        <v>308154.4923497757</v>
      </c>
      <c r="K230" s="1217">
        <f aca="true" t="shared" si="49" ref="K230:P230">SUM(K231:K232)</f>
        <v>8115.304</v>
      </c>
      <c r="L230" s="1218">
        <f t="shared" si="49"/>
        <v>316269.7963497757</v>
      </c>
      <c r="M230" s="1297">
        <f>SUM(M231:M232)</f>
        <v>14875</v>
      </c>
      <c r="N230" s="1298">
        <f t="shared" si="49"/>
        <v>331144.7963497757</v>
      </c>
      <c r="O230" s="1332">
        <f t="shared" si="49"/>
        <v>0</v>
      </c>
      <c r="P230" s="1230">
        <f t="shared" si="49"/>
        <v>330138.75495801005</v>
      </c>
      <c r="Q230" s="1089">
        <f t="shared" si="43"/>
        <v>43845.4404151701</v>
      </c>
      <c r="R230" s="1090">
        <f t="shared" si="47"/>
        <v>102.2694831088675</v>
      </c>
      <c r="S230" s="1117"/>
      <c r="U230" s="1058"/>
      <c r="V230" s="1057"/>
      <c r="W230" s="1057"/>
      <c r="X230" s="1058"/>
    </row>
    <row r="231" spans="1:24" s="1121" customFormat="1" ht="14.25" customHeight="1">
      <c r="A231" s="1333" t="s">
        <v>662</v>
      </c>
      <c r="B231" s="1334"/>
      <c r="C231" s="1125"/>
      <c r="D231" s="1105"/>
      <c r="E231" s="1079" t="s">
        <v>130</v>
      </c>
      <c r="F231" s="1080">
        <f>'[2]Summary'!E227/15.6466</f>
        <v>216039.2051947388</v>
      </c>
      <c r="G231" s="1080">
        <f>'[2]Summary'!F227/15.6466</f>
        <v>242421.9707795943</v>
      </c>
      <c r="H231" s="1081">
        <f>'[2]Summary'!G227/15.6466</f>
        <v>224614.13214372454</v>
      </c>
      <c r="I231" s="1081">
        <f>'[2]Summary'!H227/15.6466</f>
        <v>240711.15104879017</v>
      </c>
      <c r="J231" s="1329">
        <f>'[2]Summary'!I227/15.6466</f>
        <v>225069.3492515946</v>
      </c>
      <c r="K231" s="1335">
        <f>'[4]sotsmaja'!M228</f>
        <v>4115.304</v>
      </c>
      <c r="L231" s="1084">
        <f>J231+K231</f>
        <v>229184.6532515946</v>
      </c>
      <c r="M231" s="1285">
        <f>'[4]sotsmaja'!R228</f>
        <v>6875</v>
      </c>
      <c r="N231" s="1285">
        <f>L231+M231</f>
        <v>236059.6532515946</v>
      </c>
      <c r="O231" s="1151">
        <f>'[4]sotsmaja'!W228</f>
        <v>0</v>
      </c>
      <c r="P231" s="1132">
        <f>'[4]sotsmaja'!X228</f>
        <v>235053.611859829</v>
      </c>
      <c r="Q231" s="1089">
        <f t="shared" si="43"/>
        <v>24671.94585405136</v>
      </c>
      <c r="R231" s="1090">
        <f t="shared" si="47"/>
        <v>98.06760186350787</v>
      </c>
      <c r="S231" s="1111"/>
      <c r="U231" s="1058"/>
      <c r="V231" s="1057"/>
      <c r="W231" s="1057"/>
      <c r="X231" s="1058"/>
    </row>
    <row r="232" spans="1:33" s="1121" customFormat="1" ht="16.5" customHeight="1">
      <c r="A232" s="1123">
        <v>107002</v>
      </c>
      <c r="B232" s="1124"/>
      <c r="C232" s="1125">
        <v>4520</v>
      </c>
      <c r="D232" s="1105"/>
      <c r="E232" s="1079" t="s">
        <v>663</v>
      </c>
      <c r="F232" s="1080">
        <f>'[2]Summary'!E228/15.6466</f>
        <v>63911.64853706237</v>
      </c>
      <c r="G232" s="1080">
        <f>'[2]Summary'!F228/15.6466</f>
        <v>87405.57053928649</v>
      </c>
      <c r="H232" s="1081">
        <f>'[2]Summary'!G228/15.6466</f>
        <v>83085.14309818108</v>
      </c>
      <c r="I232" s="1081">
        <f>'[2]Summary'!H228/15.6466</f>
        <v>83085.14309818108</v>
      </c>
      <c r="J232" s="1329">
        <f>'[2]Summary'!I228/15.6466</f>
        <v>83085.14309818108</v>
      </c>
      <c r="K232" s="1083">
        <v>4000</v>
      </c>
      <c r="L232" s="1084">
        <f>J232+K232</f>
        <v>87085.14309818108</v>
      </c>
      <c r="M232" s="1285">
        <f>2000+6000</f>
        <v>8000</v>
      </c>
      <c r="N232" s="1291">
        <f>L232+M232</f>
        <v>95085.14309818108</v>
      </c>
      <c r="O232" s="1087"/>
      <c r="P232" s="1130">
        <f>N232+O232</f>
        <v>95085.14309818108</v>
      </c>
      <c r="Q232" s="1089">
        <f t="shared" si="43"/>
        <v>19173.494561118714</v>
      </c>
      <c r="R232" s="1090">
        <f t="shared" si="47"/>
        <v>114.44301538461538</v>
      </c>
      <c r="S232" s="1117"/>
      <c r="U232" s="1058"/>
      <c r="V232" s="1057"/>
      <c r="W232" s="1057"/>
      <c r="X232" s="1058"/>
      <c r="Y232" s="1336"/>
      <c r="Z232" s="1336"/>
      <c r="AA232" s="1336"/>
      <c r="AB232" s="1336"/>
      <c r="AC232" s="1336"/>
      <c r="AD232" s="1336"/>
      <c r="AE232" s="1336"/>
      <c r="AF232" s="1336"/>
      <c r="AG232" s="1336"/>
    </row>
    <row r="233" spans="1:33" ht="12">
      <c r="A233" s="1123">
        <v>10701</v>
      </c>
      <c r="B233" s="1124"/>
      <c r="C233" s="1125"/>
      <c r="D233" s="1126"/>
      <c r="E233" s="1079" t="s">
        <v>664</v>
      </c>
      <c r="F233" s="1080">
        <f>'[2]Summary'!E229/15.6466</f>
        <v>0</v>
      </c>
      <c r="G233" s="1080">
        <f>'[2]Summary'!F229/15.6466</f>
        <v>341106.5662827707</v>
      </c>
      <c r="H233" s="1081">
        <f>'[2]Summary'!G229/15.6466</f>
        <v>0</v>
      </c>
      <c r="I233" s="1081">
        <f>'[2]Summary'!H229/15.6466</f>
        <v>372604.9109710736</v>
      </c>
      <c r="J233" s="1329">
        <f>'[2]Summary'!I229/15.6466</f>
        <v>0</v>
      </c>
      <c r="K233" s="1337">
        <f>K234+K235+K236</f>
        <v>646302</v>
      </c>
      <c r="L233" s="1335">
        <f>L234+L235+L236</f>
        <v>646302</v>
      </c>
      <c r="M233" s="1291">
        <f>M234+M235+M236</f>
        <v>94969</v>
      </c>
      <c r="N233" s="1291">
        <f>N234+N235+N236</f>
        <v>741271</v>
      </c>
      <c r="O233" s="1087"/>
      <c r="P233" s="1130">
        <f>N233+O233</f>
        <v>741271</v>
      </c>
      <c r="Q233" s="1089">
        <f t="shared" si="43"/>
        <v>372604.9109710736</v>
      </c>
      <c r="R233" s="1090"/>
      <c r="S233" s="1074"/>
      <c r="U233" s="1058"/>
      <c r="V233" s="1057"/>
      <c r="W233" s="1057"/>
      <c r="X233" s="1058"/>
      <c r="Y233" s="1338"/>
      <c r="Z233" s="1338"/>
      <c r="AA233" s="1338"/>
      <c r="AB233" s="1338"/>
      <c r="AC233" s="1338"/>
      <c r="AD233" s="1338"/>
      <c r="AE233" s="1338"/>
      <c r="AF233" s="1338"/>
      <c r="AG233" s="1338"/>
    </row>
    <row r="234" spans="1:33" ht="14.25" customHeight="1">
      <c r="A234" s="1123"/>
      <c r="B234" s="1124"/>
      <c r="C234" s="1125"/>
      <c r="D234" s="1126"/>
      <c r="E234" s="1079" t="s">
        <v>665</v>
      </c>
      <c r="F234" s="1080">
        <f>'[2]Summary'!E230/15.6466</f>
        <v>0</v>
      </c>
      <c r="G234" s="1080">
        <f>'[2]Summary'!F230/15.6466</f>
        <v>329794.2044917107</v>
      </c>
      <c r="H234" s="1081">
        <f>'[2]Summary'!G230/15.6466</f>
        <v>0</v>
      </c>
      <c r="I234" s="1081">
        <f>'[2]Summary'!H230/15.6466</f>
        <v>349596.71749773115</v>
      </c>
      <c r="J234" s="1329">
        <f>'[2]Summary'!I230/15.6466</f>
        <v>0</v>
      </c>
      <c r="K234" s="1128">
        <f>575105+48877</f>
        <v>623982</v>
      </c>
      <c r="L234" s="1084">
        <f>J234+K234</f>
        <v>623982</v>
      </c>
      <c r="M234" s="1285">
        <v>94969</v>
      </c>
      <c r="N234" s="1291">
        <f>L234+M234</f>
        <v>718951</v>
      </c>
      <c r="O234" s="1132"/>
      <c r="P234" s="1133"/>
      <c r="Q234" s="1089">
        <f t="shared" si="43"/>
        <v>349596.71749773115</v>
      </c>
      <c r="R234" s="1090"/>
      <c r="S234" s="1074"/>
      <c r="U234" s="1058"/>
      <c r="V234" s="1057"/>
      <c r="W234" s="1057"/>
      <c r="X234" s="1058"/>
      <c r="Y234" s="1339"/>
      <c r="Z234" s="1339"/>
      <c r="AA234" s="1339"/>
      <c r="AB234" s="1339"/>
      <c r="AC234" s="1339"/>
      <c r="AD234" s="1339"/>
      <c r="AE234" s="1339"/>
      <c r="AF234" s="1339"/>
      <c r="AG234" s="1339"/>
    </row>
    <row r="235" spans="1:33" ht="12">
      <c r="A235" s="1123"/>
      <c r="B235" s="1124"/>
      <c r="C235" s="1125"/>
      <c r="D235" s="1126"/>
      <c r="E235" s="1079" t="s">
        <v>666</v>
      </c>
      <c r="F235" s="1080">
        <f>'[2]Summary'!E231/15.6466</f>
        <v>0</v>
      </c>
      <c r="G235" s="1080">
        <f>'[2]Summary'!F231/15.6466</f>
        <v>11312.361791060039</v>
      </c>
      <c r="H235" s="1081">
        <f>'[2]Summary'!G231/15.6466</f>
        <v>0</v>
      </c>
      <c r="I235" s="1081">
        <f>'[2]Summary'!H231/15.6466</f>
        <v>23008.193473342453</v>
      </c>
      <c r="J235" s="1329">
        <f>'[2]Summary'!I231/15.6466</f>
        <v>0</v>
      </c>
      <c r="K235" s="1128">
        <v>22320</v>
      </c>
      <c r="L235" s="1084">
        <f>J235+K235</f>
        <v>22320</v>
      </c>
      <c r="M235" s="1285"/>
      <c r="N235" s="1291">
        <f>L235+M235</f>
        <v>22320</v>
      </c>
      <c r="O235" s="1132"/>
      <c r="P235" s="1133"/>
      <c r="Q235" s="1089">
        <f t="shared" si="43"/>
        <v>23008.193473342453</v>
      </c>
      <c r="R235" s="1090"/>
      <c r="S235" s="1074"/>
      <c r="U235" s="1058"/>
      <c r="V235" s="1057"/>
      <c r="W235" s="1057"/>
      <c r="X235" s="1058"/>
      <c r="Y235" s="563"/>
      <c r="Z235" s="563"/>
      <c r="AA235" s="563"/>
      <c r="AB235" s="563"/>
      <c r="AC235" s="563"/>
      <c r="AD235" s="563"/>
      <c r="AE235" s="563"/>
      <c r="AF235" s="563"/>
      <c r="AG235" s="563"/>
    </row>
    <row r="236" spans="1:33" ht="12">
      <c r="A236" s="1123"/>
      <c r="B236" s="1124"/>
      <c r="C236" s="1125"/>
      <c r="D236" s="1126"/>
      <c r="E236" s="1079" t="s">
        <v>667</v>
      </c>
      <c r="F236" s="1080">
        <f>'[2]Summary'!E232/15.6466</f>
        <v>0</v>
      </c>
      <c r="G236" s="1080">
        <f>'[2]Summary'!F232/15.6466</f>
        <v>0</v>
      </c>
      <c r="H236" s="1081">
        <f>'[2]Summary'!G232/15.6466</f>
        <v>0</v>
      </c>
      <c r="I236" s="1081">
        <f>'[2]Summary'!H232/15.6466</f>
        <v>0</v>
      </c>
      <c r="J236" s="1329">
        <f>'[2]Summary'!I232/15.6466</f>
        <v>0</v>
      </c>
      <c r="K236" s="1128"/>
      <c r="L236" s="1084">
        <f>J236+K236</f>
        <v>0</v>
      </c>
      <c r="M236" s="1285"/>
      <c r="N236" s="1291">
        <f>L236+M236</f>
        <v>0</v>
      </c>
      <c r="O236" s="1132"/>
      <c r="P236" s="1133"/>
      <c r="Q236" s="1089">
        <f t="shared" si="43"/>
        <v>0</v>
      </c>
      <c r="R236" s="1090"/>
      <c r="S236" s="1074"/>
      <c r="U236" s="1058"/>
      <c r="V236" s="1057"/>
      <c r="W236" s="1057"/>
      <c r="X236" s="1058"/>
      <c r="Y236" s="1339"/>
      <c r="Z236" s="1339"/>
      <c r="AA236" s="1339"/>
      <c r="AB236" s="1339"/>
      <c r="AC236" s="1339"/>
      <c r="AD236" s="1339"/>
      <c r="AE236" s="1339"/>
      <c r="AF236" s="1339"/>
      <c r="AG236" s="1339"/>
    </row>
    <row r="237" spans="1:33" s="1118" customFormat="1" ht="12">
      <c r="A237" s="1137">
        <v>10702</v>
      </c>
      <c r="B237" s="1138"/>
      <c r="C237" s="1139">
        <v>4138</v>
      </c>
      <c r="D237" s="1114"/>
      <c r="E237" s="1211" t="s">
        <v>668</v>
      </c>
      <c r="F237" s="1080">
        <f>'[2]Summary'!E233/15.6466</f>
        <v>429997.5713573556</v>
      </c>
      <c r="G237" s="1080">
        <f>'[2]Summary'!F233/15.6466</f>
        <v>560786.3689236001</v>
      </c>
      <c r="H237" s="1081">
        <f>'[2]Summary'!G233/15.6466</f>
        <v>380501.89817596157</v>
      </c>
      <c r="I237" s="1081">
        <f>'[2]Summary'!H233/15.6466</f>
        <v>383697.4806028147</v>
      </c>
      <c r="J237" s="1329">
        <f>'[2]Summary'!I233/15.6466-319558</f>
        <v>112740.39070468984</v>
      </c>
      <c r="K237" s="1320">
        <f aca="true" t="shared" si="50" ref="K237:P237">SUM(K238:K245)</f>
        <v>2000</v>
      </c>
      <c r="L237" s="1218">
        <f t="shared" si="50"/>
        <v>114740.14801937802</v>
      </c>
      <c r="M237" s="1297">
        <f>SUM(M238:M245)</f>
        <v>0</v>
      </c>
      <c r="N237" s="1298">
        <f t="shared" si="50"/>
        <v>114740.14801937802</v>
      </c>
      <c r="O237" s="1332">
        <f t="shared" si="50"/>
        <v>0</v>
      </c>
      <c r="P237" s="1230">
        <f t="shared" si="50"/>
        <v>114740.14801937802</v>
      </c>
      <c r="Q237" s="1089">
        <f t="shared" si="43"/>
        <v>-46300.09075454093</v>
      </c>
      <c r="R237" s="1090">
        <f>N237/I237%</f>
        <v>29.903805424813704</v>
      </c>
      <c r="S237" s="1117"/>
      <c r="U237" s="1058"/>
      <c r="V237" s="1057"/>
      <c r="W237" s="1057"/>
      <c r="X237" s="1058"/>
      <c r="Y237" s="1339"/>
      <c r="Z237" s="1339"/>
      <c r="AA237" s="1339"/>
      <c r="AB237" s="1339"/>
      <c r="AC237" s="1339"/>
      <c r="AD237" s="1339"/>
      <c r="AE237" s="1339"/>
      <c r="AF237" s="1339"/>
      <c r="AG237" s="1339"/>
    </row>
    <row r="238" spans="1:33" s="1121" customFormat="1" ht="12">
      <c r="A238" s="1102"/>
      <c r="B238" s="1103"/>
      <c r="C238" s="1125"/>
      <c r="D238" s="1105"/>
      <c r="E238" s="1079" t="s">
        <v>669</v>
      </c>
      <c r="F238" s="1080">
        <f>'[2]Summary'!E234/15.6466</f>
        <v>9203.277389336981</v>
      </c>
      <c r="G238" s="1080">
        <f>'[2]Summary'!F234/15.6466</f>
        <v>9203.277389336981</v>
      </c>
      <c r="H238" s="1081">
        <f>'[2]Summary'!G234/15.6466</f>
        <v>9203.277389336981</v>
      </c>
      <c r="I238" s="1081">
        <f>'[2]Summary'!H234/15.6466</f>
        <v>9203.277389336981</v>
      </c>
      <c r="J238" s="1329">
        <f>'[2]Summary'!I234/15.6466</f>
        <v>9203.277389336981</v>
      </c>
      <c r="K238" s="1083">
        <v>2000</v>
      </c>
      <c r="L238" s="1218">
        <f aca="true" t="shared" si="51" ref="L238:L245">J238+K238</f>
        <v>11203.277389336981</v>
      </c>
      <c r="M238" s="1297"/>
      <c r="N238" s="1298">
        <f aca="true" t="shared" si="52" ref="N238:N245">L238+M238</f>
        <v>11203.277389336981</v>
      </c>
      <c r="O238" s="1221"/>
      <c r="P238" s="1222">
        <f aca="true" t="shared" si="53" ref="P238:P245">N238+O238</f>
        <v>11203.277389336981</v>
      </c>
      <c r="Q238" s="1089">
        <f t="shared" si="43"/>
        <v>0</v>
      </c>
      <c r="R238" s="1090">
        <f>N238/I238%</f>
        <v>121.7313888888889</v>
      </c>
      <c r="S238" s="1111"/>
      <c r="U238" s="1058"/>
      <c r="V238" s="1057"/>
      <c r="W238" s="1057"/>
      <c r="X238" s="1058"/>
      <c r="Y238" s="1339"/>
      <c r="Z238" s="1339"/>
      <c r="AA238" s="1339"/>
      <c r="AB238" s="1339"/>
      <c r="AC238" s="1339"/>
      <c r="AD238" s="1339"/>
      <c r="AE238" s="1339"/>
      <c r="AF238" s="1339"/>
      <c r="AG238" s="1339"/>
    </row>
    <row r="239" spans="1:33" s="1121" customFormat="1" ht="12">
      <c r="A239" s="1102"/>
      <c r="B239" s="1103"/>
      <c r="C239" s="1104"/>
      <c r="D239" s="1105"/>
      <c r="E239" s="1079" t="s">
        <v>670</v>
      </c>
      <c r="F239" s="1080">
        <f>'[2]Summary'!E235/15.6466</f>
        <v>6391.1648537062365</v>
      </c>
      <c r="G239" s="1080">
        <f>'[2]Summary'!F235/15.6466</f>
        <v>6391.1648537062365</v>
      </c>
      <c r="H239" s="1081">
        <f>'[2]Summary'!G235/15.6466</f>
        <v>3195.5824268531182</v>
      </c>
      <c r="I239" s="1081">
        <f>'[2]Summary'!H235/15.6466</f>
        <v>3195.5824268531182</v>
      </c>
      <c r="J239" s="1329">
        <f>'[2]Summary'!I235/15.6466</f>
        <v>3195.5824268531182</v>
      </c>
      <c r="K239" s="1083"/>
      <c r="L239" s="1218">
        <f t="shared" si="51"/>
        <v>3195.5824268531182</v>
      </c>
      <c r="M239" s="1297"/>
      <c r="N239" s="1298">
        <f t="shared" si="52"/>
        <v>3195.5824268531182</v>
      </c>
      <c r="O239" s="1221"/>
      <c r="P239" s="1222">
        <f t="shared" si="53"/>
        <v>3195.5824268531182</v>
      </c>
      <c r="Q239" s="1089">
        <f t="shared" si="43"/>
        <v>-3195.5824268531182</v>
      </c>
      <c r="R239" s="1090">
        <f>N239/I239%</f>
        <v>100</v>
      </c>
      <c r="S239" s="1111"/>
      <c r="U239" s="1058"/>
      <c r="V239" s="1057"/>
      <c r="W239" s="1057"/>
      <c r="X239" s="1058"/>
      <c r="Y239" s="1340"/>
      <c r="Z239" s="1340"/>
      <c r="AA239" s="1340"/>
      <c r="AB239" s="1340"/>
      <c r="AC239" s="1340"/>
      <c r="AD239" s="1340"/>
      <c r="AE239" s="1340"/>
      <c r="AF239" s="1340"/>
      <c r="AG239" s="1340"/>
    </row>
    <row r="240" spans="1:33" s="1121" customFormat="1" ht="12">
      <c r="A240" s="1102"/>
      <c r="B240" s="1103"/>
      <c r="C240" s="1104"/>
      <c r="D240" s="1105"/>
      <c r="E240" s="1079" t="s">
        <v>671</v>
      </c>
      <c r="F240" s="1080">
        <f>'[2]Summary'!E236/15.6466</f>
        <v>304475.0936305651</v>
      </c>
      <c r="G240" s="1080">
        <f>'[2]Summary'!F236/15.6466</f>
        <v>432068.3087699564</v>
      </c>
      <c r="H240" s="1081">
        <f>'[2]Summary'!G236/15.6466</f>
        <v>261370.5853028773</v>
      </c>
      <c r="I240" s="1081">
        <f>'[2]Summary'!H236/15.6466</f>
        <v>264566.1677297304</v>
      </c>
      <c r="J240" s="1329"/>
      <c r="K240" s="1128">
        <v>0</v>
      </c>
      <c r="L240" s="1218">
        <f>J240+K240</f>
        <v>0</v>
      </c>
      <c r="M240" s="1297"/>
      <c r="N240" s="1298">
        <f t="shared" si="52"/>
        <v>0</v>
      </c>
      <c r="O240" s="1221"/>
      <c r="P240" s="1222">
        <f t="shared" si="53"/>
        <v>0</v>
      </c>
      <c r="Q240" s="1089">
        <f t="shared" si="43"/>
        <v>-39908.92590083467</v>
      </c>
      <c r="R240" s="1090"/>
      <c r="S240" s="1111"/>
      <c r="U240" s="1058"/>
      <c r="V240" s="1057"/>
      <c r="W240" s="1057"/>
      <c r="X240" s="1058"/>
      <c r="Y240" s="1339"/>
      <c r="Z240" s="1339"/>
      <c r="AA240" s="1339"/>
      <c r="AB240" s="1339"/>
      <c r="AC240" s="1339"/>
      <c r="AD240" s="1339"/>
      <c r="AE240" s="1339"/>
      <c r="AF240" s="1339"/>
      <c r="AG240" s="1339"/>
    </row>
    <row r="241" spans="1:33" s="1121" customFormat="1" ht="12">
      <c r="A241" s="1102"/>
      <c r="B241" s="1103"/>
      <c r="C241" s="1104"/>
      <c r="D241" s="1105"/>
      <c r="E241" s="1079" t="s">
        <v>672</v>
      </c>
      <c r="F241" s="1080">
        <f>'[2]Summary'!E237/15.6466</f>
        <v>12782.329707412473</v>
      </c>
      <c r="G241" s="1080">
        <f>'[2]Summary'!F237/15.6466</f>
        <v>15977.912134265593</v>
      </c>
      <c r="H241" s="1081">
        <f>'[2]Summary'!G237/15.6466</f>
        <v>15977.912134265593</v>
      </c>
      <c r="I241" s="1081">
        <f>'[2]Summary'!H237/15.6466</f>
        <v>15977.912134265593</v>
      </c>
      <c r="J241" s="1329">
        <f>'[2]Summary'!I237/15.6466</f>
        <v>12782.329707412473</v>
      </c>
      <c r="K241" s="1083"/>
      <c r="L241" s="1218">
        <f t="shared" si="51"/>
        <v>12782.329707412473</v>
      </c>
      <c r="M241" s="1297"/>
      <c r="N241" s="1298">
        <f t="shared" si="52"/>
        <v>12782.329707412473</v>
      </c>
      <c r="O241" s="1221"/>
      <c r="P241" s="1222">
        <f t="shared" si="53"/>
        <v>12782.329707412473</v>
      </c>
      <c r="Q241" s="1089">
        <f t="shared" si="43"/>
        <v>3195.5824268531196</v>
      </c>
      <c r="R241" s="1090">
        <f aca="true" t="shared" si="54" ref="R241:R304">N241/I241%</f>
        <v>80</v>
      </c>
      <c r="S241" s="1111"/>
      <c r="U241" s="1058"/>
      <c r="V241" s="1057"/>
      <c r="W241" s="1057"/>
      <c r="X241" s="1058"/>
      <c r="Y241" s="1339"/>
      <c r="Z241" s="1339"/>
      <c r="AA241" s="1339"/>
      <c r="AB241" s="1339"/>
      <c r="AC241" s="1339"/>
      <c r="AD241" s="1339"/>
      <c r="AE241" s="1339"/>
      <c r="AF241" s="1339"/>
      <c r="AG241" s="1339"/>
    </row>
    <row r="242" spans="1:33" s="1121" customFormat="1" ht="12">
      <c r="A242" s="1102"/>
      <c r="B242" s="1103"/>
      <c r="C242" s="1104"/>
      <c r="D242" s="1105"/>
      <c r="E242" s="1079" t="s">
        <v>673</v>
      </c>
      <c r="F242" s="1080">
        <f>'[2]Summary'!E238/15.6466</f>
        <v>8947.630795188732</v>
      </c>
      <c r="G242" s="1080">
        <f>'[2]Summary'!F238/15.6466</f>
        <v>8947.630795188732</v>
      </c>
      <c r="H242" s="1081">
        <f>'[2]Summary'!G238/15.6466</f>
        <v>6391.1648537062365</v>
      </c>
      <c r="I242" s="1081">
        <f>'[2]Summary'!H238/15.6466</f>
        <v>6391.1648537062365</v>
      </c>
      <c r="J242" s="1329">
        <f>'[2]Summary'!I238/15.6466</f>
        <v>3195.5824268531182</v>
      </c>
      <c r="K242" s="1083"/>
      <c r="L242" s="1218">
        <f t="shared" si="51"/>
        <v>3195.5824268531182</v>
      </c>
      <c r="M242" s="1297"/>
      <c r="N242" s="1298">
        <f t="shared" si="52"/>
        <v>3195.5824268531182</v>
      </c>
      <c r="O242" s="1221"/>
      <c r="P242" s="1222">
        <f t="shared" si="53"/>
        <v>3195.5824268531182</v>
      </c>
      <c r="Q242" s="1089">
        <f t="shared" si="43"/>
        <v>-2556.4659414824955</v>
      </c>
      <c r="R242" s="1090">
        <f t="shared" si="54"/>
        <v>50</v>
      </c>
      <c r="S242" s="1111"/>
      <c r="U242" s="1058"/>
      <c r="V242" s="1057"/>
      <c r="W242" s="1057"/>
      <c r="X242" s="1058"/>
      <c r="Y242" s="1339"/>
      <c r="Z242" s="1339"/>
      <c r="AA242" s="1339"/>
      <c r="AB242" s="1339"/>
      <c r="AC242" s="1339"/>
      <c r="AD242" s="1339"/>
      <c r="AE242" s="1339"/>
      <c r="AF242" s="1339"/>
      <c r="AG242" s="1339"/>
    </row>
    <row r="243" spans="1:33" s="1121" customFormat="1" ht="12">
      <c r="A243" s="1102"/>
      <c r="B243" s="1103"/>
      <c r="C243" s="1104"/>
      <c r="D243" s="1105"/>
      <c r="E243" s="1079" t="s">
        <v>674</v>
      </c>
      <c r="F243" s="1080">
        <f>'[2]Summary'!E239/15.6466</f>
        <v>7285.92793322511</v>
      </c>
      <c r="G243" s="1080">
        <f>'[2]Summary'!F239/15.6466</f>
        <v>7285.92793322511</v>
      </c>
      <c r="H243" s="1081">
        <f>'[2]Summary'!G239/15.6466</f>
        <v>11504.096736671227</v>
      </c>
      <c r="I243" s="1081">
        <f>'[2]Summary'!H239/15.6466</f>
        <v>11504.096736671227</v>
      </c>
      <c r="J243" s="1329">
        <f>'[2]Summary'!I239/15.6466</f>
        <v>11504.096736671227</v>
      </c>
      <c r="K243" s="1083"/>
      <c r="L243" s="1218">
        <f t="shared" si="51"/>
        <v>11504.096736671227</v>
      </c>
      <c r="M243" s="1297"/>
      <c r="N243" s="1298">
        <f t="shared" si="52"/>
        <v>11504.096736671227</v>
      </c>
      <c r="O243" s="1221"/>
      <c r="P243" s="1222">
        <f t="shared" si="53"/>
        <v>11504.096736671227</v>
      </c>
      <c r="Q243" s="1089">
        <f t="shared" si="43"/>
        <v>4218.168803446117</v>
      </c>
      <c r="R243" s="1090">
        <f t="shared" si="54"/>
        <v>100</v>
      </c>
      <c r="S243" s="1111"/>
      <c r="U243" s="1058"/>
      <c r="V243" s="1057"/>
      <c r="W243" s="1057"/>
      <c r="X243" s="1058"/>
      <c r="Y243" s="1339"/>
      <c r="Z243" s="1339"/>
      <c r="AA243" s="1339"/>
      <c r="AB243" s="1339"/>
      <c r="AC243" s="1339"/>
      <c r="AD243" s="1339"/>
      <c r="AE243" s="1339"/>
      <c r="AF243" s="1339"/>
      <c r="AG243" s="1339"/>
    </row>
    <row r="244" spans="1:33" s="1121" customFormat="1" ht="12">
      <c r="A244" s="1102"/>
      <c r="B244" s="1103"/>
      <c r="C244" s="1104"/>
      <c r="D244" s="1105"/>
      <c r="E244" s="1079" t="s">
        <v>675</v>
      </c>
      <c r="F244" s="1080">
        <f>'[2]Summary'!E240/15.6466</f>
        <v>80912.14704792095</v>
      </c>
      <c r="G244" s="1080">
        <f>'[2]Summary'!F240/15.6466</f>
        <v>80912.14704792095</v>
      </c>
      <c r="H244" s="1081">
        <f>'[2]Summary'!G240/15.6466</f>
        <v>72859.2793322511</v>
      </c>
      <c r="I244" s="1081">
        <f>'[2]Summary'!H240/15.6466</f>
        <v>72859.2793322511</v>
      </c>
      <c r="J244" s="1329">
        <f>'[2]Summary'!I240/15.6466</f>
        <v>72859.2793322511</v>
      </c>
      <c r="K244" s="1128"/>
      <c r="L244" s="1218">
        <f t="shared" si="51"/>
        <v>72859.2793322511</v>
      </c>
      <c r="M244" s="1297"/>
      <c r="N244" s="1298">
        <f t="shared" si="52"/>
        <v>72859.2793322511</v>
      </c>
      <c r="O244" s="1221"/>
      <c r="P244" s="1222">
        <f t="shared" si="53"/>
        <v>72859.2793322511</v>
      </c>
      <c r="Q244" s="1089">
        <f t="shared" si="43"/>
        <v>-8052.867715669854</v>
      </c>
      <c r="R244" s="1090">
        <f t="shared" si="54"/>
        <v>100</v>
      </c>
      <c r="S244" s="1111"/>
      <c r="U244" s="1058"/>
      <c r="V244" s="1057"/>
      <c r="W244" s="1057"/>
      <c r="X244" s="1058"/>
      <c r="Y244" s="1339"/>
      <c r="Z244" s="1339"/>
      <c r="AA244" s="1339"/>
      <c r="AB244" s="1339"/>
      <c r="AC244" s="1339"/>
      <c r="AD244" s="1339"/>
      <c r="AE244" s="1339"/>
      <c r="AF244" s="1339"/>
      <c r="AG244" s="1339"/>
    </row>
    <row r="245" spans="1:33" s="1121" customFormat="1" ht="12" hidden="1">
      <c r="A245" s="1102"/>
      <c r="B245" s="1103"/>
      <c r="C245" s="1104"/>
      <c r="D245" s="1105"/>
      <c r="E245" s="1341" t="s">
        <v>676</v>
      </c>
      <c r="F245" s="1080">
        <f>'[2]Summary'!E241/15.6466</f>
        <v>0</v>
      </c>
      <c r="G245" s="1080">
        <f>'[2]Summary'!F241/15.6466</f>
        <v>0</v>
      </c>
      <c r="H245" s="1081">
        <f>'[2]Summary'!G241/15.6466</f>
        <v>0</v>
      </c>
      <c r="I245" s="1081">
        <f>'[2]Summary'!H241/15.6466</f>
        <v>0</v>
      </c>
      <c r="J245" s="1329">
        <f>'[2]Summary'!I241/15.6466</f>
        <v>0</v>
      </c>
      <c r="K245" s="1128"/>
      <c r="L245" s="1218">
        <f t="shared" si="51"/>
        <v>0</v>
      </c>
      <c r="M245" s="1297"/>
      <c r="N245" s="1298">
        <f t="shared" si="52"/>
        <v>0</v>
      </c>
      <c r="O245" s="1221"/>
      <c r="P245" s="1222">
        <f t="shared" si="53"/>
        <v>0</v>
      </c>
      <c r="Q245" s="1089">
        <f t="shared" si="43"/>
        <v>0</v>
      </c>
      <c r="R245" s="1090" t="e">
        <f t="shared" si="54"/>
        <v>#DIV/0!</v>
      </c>
      <c r="S245" s="1111"/>
      <c r="U245" s="1058"/>
      <c r="V245" s="1057"/>
      <c r="W245" s="1057"/>
      <c r="X245" s="1058"/>
      <c r="Y245" s="1339"/>
      <c r="Z245" s="1339"/>
      <c r="AA245" s="1339"/>
      <c r="AB245" s="1339"/>
      <c r="AC245" s="1339"/>
      <c r="AD245" s="1339"/>
      <c r="AE245" s="1339"/>
      <c r="AF245" s="1339"/>
      <c r="AG245" s="1339"/>
    </row>
    <row r="246" spans="1:33" s="1101" customFormat="1" ht="12">
      <c r="A246" s="1146">
        <v>10900</v>
      </c>
      <c r="B246" s="1147"/>
      <c r="C246" s="1093"/>
      <c r="D246" s="1136"/>
      <c r="E246" s="1120" t="s">
        <v>677</v>
      </c>
      <c r="F246" s="1080">
        <f>'[2]Summary'!E242/15.6466</f>
        <v>138634.85760484706</v>
      </c>
      <c r="G246" s="1080">
        <f>'[2]Summary'!F242/15.6466</f>
        <v>142488.41045338922</v>
      </c>
      <c r="H246" s="1081">
        <f>'[2]Summary'!G242/15.6466</f>
        <v>133147.20130891056</v>
      </c>
      <c r="I246" s="1081">
        <f>'[2]Summary'!H242/15.6466</f>
        <v>141983.05063080796</v>
      </c>
      <c r="J246" s="1329">
        <f>'[2]Summary'!I242/15.6466</f>
        <v>111580.78319890583</v>
      </c>
      <c r="K246" s="1155">
        <f>K247+K248+K249</f>
        <v>11152.42</v>
      </c>
      <c r="L246" s="1155">
        <f>L247+L248+L249</f>
        <v>122733.20319890583</v>
      </c>
      <c r="M246" s="1287">
        <f>M247+M248+M249</f>
        <v>7930.24</v>
      </c>
      <c r="N246" s="1287">
        <f>N247+N248+N249</f>
        <v>130663.44319890584</v>
      </c>
      <c r="O246" s="1108">
        <f>SUM(O247)</f>
        <v>0</v>
      </c>
      <c r="P246" s="1157">
        <f>SUM(P247)</f>
        <v>129243.00999309754</v>
      </c>
      <c r="Q246" s="1089">
        <f t="shared" si="43"/>
        <v>3348.193025960907</v>
      </c>
      <c r="R246" s="1090">
        <f t="shared" si="54"/>
        <v>92.02749385816762</v>
      </c>
      <c r="S246" s="1100"/>
      <c r="U246" s="1058"/>
      <c r="V246" s="1057"/>
      <c r="W246" s="1057"/>
      <c r="X246" s="1058"/>
      <c r="Y246" s="563"/>
      <c r="Z246" s="563"/>
      <c r="AA246" s="563"/>
      <c r="AB246" s="563"/>
      <c r="AC246" s="563"/>
      <c r="AD246" s="563"/>
      <c r="AE246" s="563"/>
      <c r="AF246" s="563"/>
      <c r="AG246" s="563"/>
    </row>
    <row r="247" spans="1:33" s="1224" customFormat="1" ht="15.75" customHeight="1" thickBot="1">
      <c r="A247" s="1342">
        <v>10900</v>
      </c>
      <c r="B247" s="1343"/>
      <c r="C247" s="1344"/>
      <c r="D247" s="1345"/>
      <c r="E247" s="1346" t="s">
        <v>678</v>
      </c>
      <c r="F247" s="1181">
        <f>'[2]Summary'!E243/15.6466</f>
        <v>138634.85760484706</v>
      </c>
      <c r="G247" s="1181">
        <f>'[2]Summary'!F243/15.6466</f>
        <v>142488.41045338922</v>
      </c>
      <c r="H247" s="1182">
        <f>'[2]Summary'!G243/15.6466</f>
        <v>133147.20130891056</v>
      </c>
      <c r="I247" s="1182">
        <f>'[2]Summary'!H243/15.6466</f>
        <v>141983.05063080796</v>
      </c>
      <c r="J247" s="1347">
        <f>'[2]Summary'!I243/15.6466</f>
        <v>111580.78319890583</v>
      </c>
      <c r="K247" s="1184">
        <f>'[4]sotsabiosakond'!M228</f>
        <v>11152.42</v>
      </c>
      <c r="L247" s="1218">
        <f>J247+K247</f>
        <v>122733.20319890583</v>
      </c>
      <c r="M247" s="1348">
        <f>'[4]sotsabiosakond'!Q228</f>
        <v>7930.24</v>
      </c>
      <c r="N247" s="1348">
        <f>L247+M247</f>
        <v>130663.44319890584</v>
      </c>
      <c r="O247" s="1220">
        <f>'[4]sotsabiosakond'!U228</f>
        <v>0</v>
      </c>
      <c r="P247" s="1349">
        <f>'[4]sotsabiosakond'!V228</f>
        <v>129243.00999309754</v>
      </c>
      <c r="Q247" s="1187">
        <f t="shared" si="43"/>
        <v>3348.193025960907</v>
      </c>
      <c r="R247" s="1188">
        <f t="shared" si="54"/>
        <v>92.02749385816762</v>
      </c>
      <c r="S247" s="1223"/>
      <c r="U247" s="1058"/>
      <c r="V247" s="1057"/>
      <c r="W247" s="1057"/>
      <c r="X247" s="1058"/>
      <c r="Y247" s="1350"/>
      <c r="Z247" s="1350"/>
      <c r="AA247" s="1350"/>
      <c r="AB247" s="1350"/>
      <c r="AC247" s="1350"/>
      <c r="AD247" s="1350"/>
      <c r="AE247" s="1350"/>
      <c r="AF247" s="1350"/>
      <c r="AG247" s="1350"/>
    </row>
    <row r="248" spans="1:33" s="1224" customFormat="1" ht="10.5" customHeight="1" hidden="1">
      <c r="A248" s="1351"/>
      <c r="B248" s="1352"/>
      <c r="C248" s="1353">
        <v>5540</v>
      </c>
      <c r="D248" s="1354"/>
      <c r="E248" s="1355" t="s">
        <v>679</v>
      </c>
      <c r="F248" s="1064">
        <f>'[2]Summary'!E244/15.6466</f>
        <v>0</v>
      </c>
      <c r="G248" s="1064">
        <f>'[2]Summary'!F244/15.6466</f>
        <v>0</v>
      </c>
      <c r="H248" s="1065">
        <f>'[2]Summary'!G244/15.6466</f>
        <v>0</v>
      </c>
      <c r="I248" s="1065">
        <f>'[2]Summary'!H244/15.6466</f>
        <v>0</v>
      </c>
      <c r="J248" s="1356">
        <f>'[2]Summary'!I244/15.6466</f>
        <v>0</v>
      </c>
      <c r="K248" s="1357"/>
      <c r="L248" s="1325"/>
      <c r="M248" s="1358"/>
      <c r="N248" s="1358">
        <f>L248+M248</f>
        <v>0</v>
      </c>
      <c r="O248" s="1220"/>
      <c r="P248" s="1349"/>
      <c r="Q248" s="1072">
        <f t="shared" si="43"/>
        <v>0</v>
      </c>
      <c r="R248" s="1073" t="e">
        <f t="shared" si="54"/>
        <v>#DIV/0!</v>
      </c>
      <c r="S248" s="1223"/>
      <c r="U248" s="1058"/>
      <c r="V248" s="1057"/>
      <c r="W248" s="1057"/>
      <c r="X248" s="1058"/>
      <c r="Y248" s="1359"/>
      <c r="Z248" s="1359"/>
      <c r="AA248" s="1359"/>
      <c r="AB248" s="1359"/>
      <c r="AC248" s="1359"/>
      <c r="AD248" s="1359"/>
      <c r="AE248" s="1359"/>
      <c r="AF248" s="1359"/>
      <c r="AG248" s="1359"/>
    </row>
    <row r="249" spans="1:33" s="1224" customFormat="1" ht="10.5" customHeight="1" hidden="1">
      <c r="A249" s="1360"/>
      <c r="B249" s="1361"/>
      <c r="C249" s="1362">
        <v>5540</v>
      </c>
      <c r="D249" s="1363"/>
      <c r="E249" s="1364" t="s">
        <v>680</v>
      </c>
      <c r="F249" s="1080">
        <f>'[2]Summary'!E245/15.6466</f>
        <v>0</v>
      </c>
      <c r="G249" s="1080">
        <f>'[2]Summary'!F245/15.6466</f>
        <v>0</v>
      </c>
      <c r="H249" s="1081">
        <f>'[2]Summary'!G245/15.6466</f>
        <v>0</v>
      </c>
      <c r="I249" s="1081">
        <f>'[2]Summary'!H245/15.6466</f>
        <v>0</v>
      </c>
      <c r="J249" s="1329">
        <f>'[2]Summary'!I245/15.6466</f>
        <v>0</v>
      </c>
      <c r="K249" s="1365"/>
      <c r="L249" s="1366"/>
      <c r="M249" s="1367"/>
      <c r="N249" s="1367">
        <f>L249+M249</f>
        <v>0</v>
      </c>
      <c r="O249" s="1220"/>
      <c r="P249" s="1349"/>
      <c r="Q249" s="1089">
        <f t="shared" si="43"/>
        <v>0</v>
      </c>
      <c r="R249" s="1090" t="e">
        <f t="shared" si="54"/>
        <v>#DIV/0!</v>
      </c>
      <c r="S249" s="1223"/>
      <c r="U249" s="1058"/>
      <c r="V249" s="1057"/>
      <c r="W249" s="1057"/>
      <c r="X249" s="1058"/>
      <c r="Y249" s="1368"/>
      <c r="Z249" s="1368"/>
      <c r="AA249" s="1368"/>
      <c r="AB249" s="1368"/>
      <c r="AC249" s="1368"/>
      <c r="AD249" s="1368"/>
      <c r="AE249" s="1368"/>
      <c r="AF249" s="1368"/>
      <c r="AG249" s="1368"/>
    </row>
    <row r="250" spans="1:33" s="1381" customFormat="1" ht="12.75" thickBot="1">
      <c r="A250" s="1369"/>
      <c r="B250" s="1370"/>
      <c r="C250" s="1371"/>
      <c r="D250" s="1372"/>
      <c r="E250" s="1192" t="s">
        <v>681</v>
      </c>
      <c r="F250" s="1181">
        <f>'[2]Summary'!E246/15.6466</f>
        <v>625115.4883489065</v>
      </c>
      <c r="G250" s="1181">
        <f>'[2]Summary'!F246/15.6466</f>
        <v>626355.3743305255</v>
      </c>
      <c r="H250" s="1182">
        <f>'[2]Summary'!G246/15.6466</f>
        <v>588424.3222169672</v>
      </c>
      <c r="I250" s="1182">
        <f>'[2]Summary'!H246/15.6466</f>
        <v>624028.9264121279</v>
      </c>
      <c r="J250" s="1347">
        <f>'[2]Summary'!I246/15.6466</f>
        <v>624028.9264121279</v>
      </c>
      <c r="K250" s="1373">
        <f aca="true" t="shared" si="55" ref="K250:P250">K252+K266+K283+K294</f>
        <v>0</v>
      </c>
      <c r="L250" s="1374">
        <f t="shared" si="55"/>
        <v>624028.9264121279</v>
      </c>
      <c r="M250" s="1375">
        <f t="shared" si="55"/>
        <v>12171</v>
      </c>
      <c r="N250" s="1376">
        <f t="shared" si="55"/>
        <v>636199.9264121279</v>
      </c>
      <c r="O250" s="1377">
        <f t="shared" si="55"/>
        <v>0</v>
      </c>
      <c r="P250" s="1378">
        <f t="shared" si="55"/>
        <v>636199.9264121279</v>
      </c>
      <c r="Q250" s="1379">
        <f t="shared" si="43"/>
        <v>-1086.5619367785985</v>
      </c>
      <c r="R250" s="1188">
        <f t="shared" si="54"/>
        <v>101.95039035609736</v>
      </c>
      <c r="S250" s="1380"/>
      <c r="U250" s="1058"/>
      <c r="V250" s="1057"/>
      <c r="W250" s="1057"/>
      <c r="X250" s="1058"/>
      <c r="Y250" s="1368"/>
      <c r="Z250" s="1368"/>
      <c r="AA250" s="1368"/>
      <c r="AB250" s="1368"/>
      <c r="AC250" s="1368"/>
      <c r="AD250" s="1368"/>
      <c r="AE250" s="1368"/>
      <c r="AF250" s="1368"/>
      <c r="AG250" s="1368"/>
    </row>
    <row r="251" spans="1:33" s="1312" customFormat="1" ht="12" hidden="1">
      <c r="A251" s="1382"/>
      <c r="B251" s="1383"/>
      <c r="C251" s="1201"/>
      <c r="D251" s="1384"/>
      <c r="E251" s="1385"/>
      <c r="F251" s="1064">
        <f>'[2]Summary'!E247/15.6466</f>
        <v>0</v>
      </c>
      <c r="G251" s="1064">
        <f>'[2]Summary'!F247/15.6466</f>
        <v>0</v>
      </c>
      <c r="H251" s="1065">
        <f>'[2]Summary'!G247/15.6466</f>
        <v>0</v>
      </c>
      <c r="I251" s="1065">
        <f>'[2]Summary'!H247/15.6466</f>
        <v>0</v>
      </c>
      <c r="J251" s="1356">
        <f>'[2]Summary'!I247/15.6466</f>
        <v>0</v>
      </c>
      <c r="K251" s="1386"/>
      <c r="L251" s="1296"/>
      <c r="M251" s="1387"/>
      <c r="N251" s="1388"/>
      <c r="O251" s="1389"/>
      <c r="P251" s="1149"/>
      <c r="Q251" s="1072">
        <f t="shared" si="43"/>
        <v>0</v>
      </c>
      <c r="R251" s="1073" t="e">
        <f t="shared" si="54"/>
        <v>#DIV/0!</v>
      </c>
      <c r="S251" s="1390"/>
      <c r="T251" s="1391"/>
      <c r="U251" s="1058"/>
      <c r="V251" s="1057"/>
      <c r="W251" s="1057"/>
      <c r="X251" s="1058"/>
      <c r="Y251" s="1392"/>
      <c r="Z251" s="1392"/>
      <c r="AA251" s="1392"/>
      <c r="AB251" s="1392"/>
      <c r="AC251" s="1392"/>
      <c r="AD251" s="1392"/>
      <c r="AE251" s="1392"/>
      <c r="AF251" s="1392"/>
      <c r="AG251" s="1392"/>
    </row>
    <row r="252" spans="1:33" s="1118" customFormat="1" ht="12" hidden="1">
      <c r="A252" s="1393"/>
      <c r="B252" s="1394"/>
      <c r="C252" s="1395" t="s">
        <v>682</v>
      </c>
      <c r="D252" s="1396"/>
      <c r="E252" s="1120" t="s">
        <v>683</v>
      </c>
      <c r="F252" s="1080">
        <f>'[2]Summary'!E248/15.6466</f>
        <v>0</v>
      </c>
      <c r="G252" s="1080">
        <f>'[2]Summary'!F248/15.6466</f>
        <v>0</v>
      </c>
      <c r="H252" s="1081">
        <f>'[2]Summary'!G248/15.6466</f>
        <v>0</v>
      </c>
      <c r="I252" s="1081">
        <f>'[2]Summary'!H248/15.6466</f>
        <v>0</v>
      </c>
      <c r="J252" s="1329">
        <f>'[2]Summary'!I248/15.6466</f>
        <v>0</v>
      </c>
      <c r="K252" s="1096">
        <f aca="true" t="shared" si="56" ref="K252:P252">SUM(K254:K264)</f>
        <v>0</v>
      </c>
      <c r="L252" s="1112">
        <f t="shared" si="56"/>
        <v>0</v>
      </c>
      <c r="M252" s="1115">
        <f t="shared" si="56"/>
        <v>0</v>
      </c>
      <c r="N252" s="1144">
        <f t="shared" si="56"/>
        <v>0</v>
      </c>
      <c r="O252" s="1144">
        <f t="shared" si="56"/>
        <v>0</v>
      </c>
      <c r="P252" s="1145">
        <f t="shared" si="56"/>
        <v>0</v>
      </c>
      <c r="Q252" s="1089">
        <f t="shared" si="43"/>
        <v>0</v>
      </c>
      <c r="R252" s="1090" t="e">
        <f t="shared" si="54"/>
        <v>#DIV/0!</v>
      </c>
      <c r="S252" s="1397"/>
      <c r="T252" s="1398"/>
      <c r="U252" s="1058"/>
      <c r="V252" s="1057"/>
      <c r="W252" s="1057"/>
      <c r="X252" s="1058"/>
      <c r="Y252" s="1398"/>
      <c r="Z252" s="1398"/>
      <c r="AA252" s="1398"/>
      <c r="AB252" s="1398"/>
      <c r="AC252" s="1398"/>
      <c r="AD252" s="1398"/>
      <c r="AE252" s="1398"/>
      <c r="AF252" s="1398"/>
      <c r="AG252" s="1398"/>
    </row>
    <row r="253" spans="1:33" s="1312" customFormat="1" ht="12" hidden="1">
      <c r="A253" s="1399"/>
      <c r="B253" s="1400"/>
      <c r="C253" s="1125" t="s">
        <v>684</v>
      </c>
      <c r="D253" s="1401"/>
      <c r="E253" s="1079" t="s">
        <v>685</v>
      </c>
      <c r="F253" s="1080">
        <f>'[2]Summary'!E249/15.6466</f>
        <v>0</v>
      </c>
      <c r="G253" s="1080">
        <f>'[2]Summary'!F249/15.6466</f>
        <v>0</v>
      </c>
      <c r="H253" s="1081">
        <f>'[2]Summary'!G249/15.6466</f>
        <v>0</v>
      </c>
      <c r="I253" s="1081">
        <f>'[2]Summary'!H249/15.6466</f>
        <v>0</v>
      </c>
      <c r="J253" s="1329">
        <f>'[2]Summary'!I249/15.6466</f>
        <v>0</v>
      </c>
      <c r="K253" s="1217"/>
      <c r="L253" s="1218"/>
      <c r="M253" s="1219"/>
      <c r="N253" s="1402"/>
      <c r="O253" s="1402"/>
      <c r="P253" s="1321"/>
      <c r="Q253" s="1089">
        <f t="shared" si="43"/>
        <v>0</v>
      </c>
      <c r="R253" s="1090" t="e">
        <f t="shared" si="54"/>
        <v>#DIV/0!</v>
      </c>
      <c r="S253" s="1390"/>
      <c r="T253" s="1391"/>
      <c r="U253" s="1058"/>
      <c r="V253" s="1057"/>
      <c r="W253" s="1057"/>
      <c r="X253" s="1058"/>
      <c r="Y253" s="1391"/>
      <c r="Z253" s="1391"/>
      <c r="AA253" s="1391"/>
      <c r="AB253" s="1391"/>
      <c r="AC253" s="1391"/>
      <c r="AD253" s="1391"/>
      <c r="AE253" s="1391"/>
      <c r="AF253" s="1391"/>
      <c r="AG253" s="1391"/>
    </row>
    <row r="254" spans="1:33" s="1312" customFormat="1" ht="12" hidden="1">
      <c r="A254" s="1399"/>
      <c r="B254" s="1400"/>
      <c r="C254" s="1125" t="s">
        <v>686</v>
      </c>
      <c r="D254" s="1401"/>
      <c r="E254" s="1079" t="s">
        <v>687</v>
      </c>
      <c r="F254" s="1080">
        <f>'[2]Summary'!E250/15.6466</f>
        <v>0</v>
      </c>
      <c r="G254" s="1080">
        <f>'[2]Summary'!F250/15.6466</f>
        <v>0</v>
      </c>
      <c r="H254" s="1081">
        <f>'[2]Summary'!G250/15.6466</f>
        <v>0</v>
      </c>
      <c r="I254" s="1081">
        <f>'[2]Summary'!H250/15.6466</f>
        <v>0</v>
      </c>
      <c r="J254" s="1329">
        <f>'[2]Summary'!I250/15.6466</f>
        <v>0</v>
      </c>
      <c r="K254" s="1217"/>
      <c r="L254" s="1218"/>
      <c r="M254" s="1219"/>
      <c r="N254" s="1402"/>
      <c r="O254" s="1402"/>
      <c r="P254" s="1321"/>
      <c r="Q254" s="1089">
        <f t="shared" si="43"/>
        <v>0</v>
      </c>
      <c r="R254" s="1090" t="e">
        <f t="shared" si="54"/>
        <v>#DIV/0!</v>
      </c>
      <c r="S254" s="1390"/>
      <c r="T254" s="1391"/>
      <c r="U254" s="1058"/>
      <c r="V254" s="1057"/>
      <c r="W254" s="1057"/>
      <c r="X254" s="1058"/>
      <c r="Y254" s="1391"/>
      <c r="Z254" s="1391"/>
      <c r="AA254" s="1391"/>
      <c r="AB254" s="1391"/>
      <c r="AC254" s="1391"/>
      <c r="AD254" s="1391"/>
      <c r="AE254" s="1391"/>
      <c r="AF254" s="1391"/>
      <c r="AG254" s="1391"/>
    </row>
    <row r="255" spans="1:33" s="1312" customFormat="1" ht="12" hidden="1">
      <c r="A255" s="1399"/>
      <c r="B255" s="1400"/>
      <c r="C255" s="1125" t="s">
        <v>688</v>
      </c>
      <c r="D255" s="1401"/>
      <c r="E255" s="1079" t="s">
        <v>689</v>
      </c>
      <c r="F255" s="1080">
        <f>'[2]Summary'!E251/15.6466</f>
        <v>0</v>
      </c>
      <c r="G255" s="1080">
        <f>'[2]Summary'!F251/15.6466</f>
        <v>0</v>
      </c>
      <c r="H255" s="1081">
        <f>'[2]Summary'!G251/15.6466</f>
        <v>0</v>
      </c>
      <c r="I255" s="1081">
        <f>'[2]Summary'!H251/15.6466</f>
        <v>0</v>
      </c>
      <c r="J255" s="1329">
        <f>'[2]Summary'!I251/15.6466</f>
        <v>0</v>
      </c>
      <c r="K255" s="1217"/>
      <c r="L255" s="1218"/>
      <c r="M255" s="1219"/>
      <c r="N255" s="1402"/>
      <c r="O255" s="1402"/>
      <c r="P255" s="1321"/>
      <c r="Q255" s="1089">
        <f t="shared" si="43"/>
        <v>0</v>
      </c>
      <c r="R255" s="1090" t="e">
        <f t="shared" si="54"/>
        <v>#DIV/0!</v>
      </c>
      <c r="S255" s="1390"/>
      <c r="T255" s="1391"/>
      <c r="U255" s="1058"/>
      <c r="V255" s="1057"/>
      <c r="W255" s="1057"/>
      <c r="X255" s="1058"/>
      <c r="Y255" s="1391"/>
      <c r="Z255" s="1391"/>
      <c r="AA255" s="1391"/>
      <c r="AB255" s="1391"/>
      <c r="AC255" s="1391"/>
      <c r="AD255" s="1391"/>
      <c r="AE255" s="1391"/>
      <c r="AF255" s="1391"/>
      <c r="AG255" s="1391"/>
    </row>
    <row r="256" spans="1:33" s="1312" customFormat="1" ht="12" hidden="1">
      <c r="A256" s="1399"/>
      <c r="B256" s="1400"/>
      <c r="C256" s="1125" t="s">
        <v>690</v>
      </c>
      <c r="D256" s="1401"/>
      <c r="E256" s="1079" t="s">
        <v>691</v>
      </c>
      <c r="F256" s="1080">
        <f>'[2]Summary'!E252/15.6466</f>
        <v>0</v>
      </c>
      <c r="G256" s="1080">
        <f>'[2]Summary'!F252/15.6466</f>
        <v>0</v>
      </c>
      <c r="H256" s="1081">
        <f>'[2]Summary'!G252/15.6466</f>
        <v>0</v>
      </c>
      <c r="I256" s="1081">
        <f>'[2]Summary'!H252/15.6466</f>
        <v>0</v>
      </c>
      <c r="J256" s="1329">
        <f>'[2]Summary'!I252/15.6466</f>
        <v>0</v>
      </c>
      <c r="K256" s="1217"/>
      <c r="L256" s="1218"/>
      <c r="M256" s="1219"/>
      <c r="N256" s="1402"/>
      <c r="O256" s="1402"/>
      <c r="P256" s="1321"/>
      <c r="Q256" s="1089">
        <f t="shared" si="43"/>
        <v>0</v>
      </c>
      <c r="R256" s="1090" t="e">
        <f t="shared" si="54"/>
        <v>#DIV/0!</v>
      </c>
      <c r="S256" s="1390"/>
      <c r="T256" s="1391"/>
      <c r="U256" s="1058"/>
      <c r="V256" s="1057"/>
      <c r="W256" s="1057"/>
      <c r="X256" s="1058"/>
      <c r="Y256" s="1391"/>
      <c r="Z256" s="1391"/>
      <c r="AA256" s="1391"/>
      <c r="AB256" s="1391"/>
      <c r="AC256" s="1391"/>
      <c r="AD256" s="1391"/>
      <c r="AE256" s="1391"/>
      <c r="AF256" s="1391"/>
      <c r="AG256" s="1391"/>
    </row>
    <row r="257" spans="1:33" s="1312" customFormat="1" ht="12" hidden="1">
      <c r="A257" s="1399"/>
      <c r="B257" s="1400"/>
      <c r="C257" s="1125" t="s">
        <v>692</v>
      </c>
      <c r="D257" s="1401"/>
      <c r="E257" s="1079" t="s">
        <v>693</v>
      </c>
      <c r="F257" s="1080">
        <f>'[2]Summary'!E253/15.6466</f>
        <v>0</v>
      </c>
      <c r="G257" s="1080">
        <f>'[2]Summary'!F253/15.6466</f>
        <v>0</v>
      </c>
      <c r="H257" s="1081">
        <f>'[2]Summary'!G253/15.6466</f>
        <v>0</v>
      </c>
      <c r="I257" s="1081">
        <f>'[2]Summary'!H253/15.6466</f>
        <v>0</v>
      </c>
      <c r="J257" s="1329">
        <f>'[2]Summary'!I253/15.6466</f>
        <v>0</v>
      </c>
      <c r="K257" s="1217"/>
      <c r="L257" s="1218"/>
      <c r="M257" s="1219"/>
      <c r="N257" s="1402"/>
      <c r="O257" s="1402"/>
      <c r="P257" s="1321"/>
      <c r="Q257" s="1089">
        <f t="shared" si="43"/>
        <v>0</v>
      </c>
      <c r="R257" s="1090" t="e">
        <f t="shared" si="54"/>
        <v>#DIV/0!</v>
      </c>
      <c r="S257" s="1390"/>
      <c r="T257" s="1391"/>
      <c r="U257" s="1058"/>
      <c r="V257" s="1057"/>
      <c r="W257" s="1057"/>
      <c r="X257" s="1058"/>
      <c r="Y257" s="1391"/>
      <c r="Z257" s="1391"/>
      <c r="AA257" s="1391"/>
      <c r="AB257" s="1391"/>
      <c r="AC257" s="1391"/>
      <c r="AD257" s="1391"/>
      <c r="AE257" s="1391"/>
      <c r="AF257" s="1391"/>
      <c r="AG257" s="1391"/>
    </row>
    <row r="258" spans="1:33" s="1312" customFormat="1" ht="12" hidden="1">
      <c r="A258" s="1399"/>
      <c r="B258" s="1400"/>
      <c r="C258" s="1125" t="s">
        <v>694</v>
      </c>
      <c r="D258" s="1401"/>
      <c r="E258" s="1079" t="s">
        <v>695</v>
      </c>
      <c r="F258" s="1080">
        <f>'[2]Summary'!E254/15.6466</f>
        <v>0</v>
      </c>
      <c r="G258" s="1080">
        <f>'[2]Summary'!F254/15.6466</f>
        <v>0</v>
      </c>
      <c r="H258" s="1081">
        <f>'[2]Summary'!G254/15.6466</f>
        <v>0</v>
      </c>
      <c r="I258" s="1081">
        <f>'[2]Summary'!H254/15.6466</f>
        <v>0</v>
      </c>
      <c r="J258" s="1329">
        <f>'[2]Summary'!I254/15.6466</f>
        <v>0</v>
      </c>
      <c r="K258" s="1217"/>
      <c r="L258" s="1218"/>
      <c r="M258" s="1219"/>
      <c r="N258" s="1402"/>
      <c r="O258" s="1402"/>
      <c r="P258" s="1321"/>
      <c r="Q258" s="1089">
        <f t="shared" si="43"/>
        <v>0</v>
      </c>
      <c r="R258" s="1090" t="e">
        <f t="shared" si="54"/>
        <v>#DIV/0!</v>
      </c>
      <c r="S258" s="1390"/>
      <c r="T258" s="1391"/>
      <c r="U258" s="1058"/>
      <c r="V258" s="1057"/>
      <c r="W258" s="1057"/>
      <c r="X258" s="1058"/>
      <c r="Y258" s="1391"/>
      <c r="Z258" s="1391"/>
      <c r="AA258" s="1391"/>
      <c r="AB258" s="1391"/>
      <c r="AC258" s="1391"/>
      <c r="AD258" s="1391"/>
      <c r="AE258" s="1391"/>
      <c r="AF258" s="1391"/>
      <c r="AG258" s="1391"/>
    </row>
    <row r="259" spans="1:33" s="1312" customFormat="1" ht="12" hidden="1">
      <c r="A259" s="1399"/>
      <c r="B259" s="1400"/>
      <c r="C259" s="1125" t="s">
        <v>696</v>
      </c>
      <c r="D259" s="1401"/>
      <c r="E259" s="1079" t="s">
        <v>697</v>
      </c>
      <c r="F259" s="1080">
        <f>'[2]Summary'!E255/15.6466</f>
        <v>0</v>
      </c>
      <c r="G259" s="1080">
        <f>'[2]Summary'!F255/15.6466</f>
        <v>0</v>
      </c>
      <c r="H259" s="1081">
        <f>'[2]Summary'!G255/15.6466</f>
        <v>0</v>
      </c>
      <c r="I259" s="1081">
        <f>'[2]Summary'!H255/15.6466</f>
        <v>0</v>
      </c>
      <c r="J259" s="1329">
        <f>'[2]Summary'!I255/15.6466</f>
        <v>0</v>
      </c>
      <c r="K259" s="1217"/>
      <c r="L259" s="1218"/>
      <c r="M259" s="1219"/>
      <c r="N259" s="1402"/>
      <c r="O259" s="1402"/>
      <c r="P259" s="1321"/>
      <c r="Q259" s="1089">
        <f t="shared" si="43"/>
        <v>0</v>
      </c>
      <c r="R259" s="1090" t="e">
        <f t="shared" si="54"/>
        <v>#DIV/0!</v>
      </c>
      <c r="S259" s="1390"/>
      <c r="T259" s="1391"/>
      <c r="U259" s="1058"/>
      <c r="V259" s="1057"/>
      <c r="W259" s="1057"/>
      <c r="X259" s="1058"/>
      <c r="Y259" s="1391"/>
      <c r="Z259" s="1391"/>
      <c r="AA259" s="1391"/>
      <c r="AB259" s="1391"/>
      <c r="AC259" s="1391"/>
      <c r="AD259" s="1391"/>
      <c r="AE259" s="1391"/>
      <c r="AF259" s="1391"/>
      <c r="AG259" s="1391"/>
    </row>
    <row r="260" spans="1:33" s="1312" customFormat="1" ht="12" hidden="1">
      <c r="A260" s="1399"/>
      <c r="B260" s="1400"/>
      <c r="C260" s="1125" t="s">
        <v>698</v>
      </c>
      <c r="D260" s="1401"/>
      <c r="E260" s="1079" t="s">
        <v>699</v>
      </c>
      <c r="F260" s="1080">
        <f>'[2]Summary'!E256/15.6466</f>
        <v>0</v>
      </c>
      <c r="G260" s="1080">
        <f>'[2]Summary'!F256/15.6466</f>
        <v>0</v>
      </c>
      <c r="H260" s="1081">
        <f>'[2]Summary'!G256/15.6466</f>
        <v>0</v>
      </c>
      <c r="I260" s="1081">
        <f>'[2]Summary'!H256/15.6466</f>
        <v>0</v>
      </c>
      <c r="J260" s="1329">
        <f>'[2]Summary'!I256/15.6466</f>
        <v>0</v>
      </c>
      <c r="K260" s="1403"/>
      <c r="L260" s="1404"/>
      <c r="M260" s="1405"/>
      <c r="N260" s="1406"/>
      <c r="O260" s="1406"/>
      <c r="P260" s="1407"/>
      <c r="Q260" s="1089">
        <f t="shared" si="43"/>
        <v>0</v>
      </c>
      <c r="R260" s="1090" t="e">
        <f t="shared" si="54"/>
        <v>#DIV/0!</v>
      </c>
      <c r="S260" s="1390"/>
      <c r="T260" s="1391"/>
      <c r="U260" s="1058"/>
      <c r="V260" s="1057"/>
      <c r="W260" s="1057"/>
      <c r="X260" s="1058"/>
      <c r="Y260" s="1391"/>
      <c r="Z260" s="1391"/>
      <c r="AA260" s="1391"/>
      <c r="AB260" s="1391"/>
      <c r="AC260" s="1391"/>
      <c r="AD260" s="1391"/>
      <c r="AE260" s="1391"/>
      <c r="AF260" s="1391"/>
      <c r="AG260" s="1391"/>
    </row>
    <row r="261" spans="1:33" s="1312" customFormat="1" ht="12" hidden="1">
      <c r="A261" s="1399"/>
      <c r="B261" s="1400"/>
      <c r="C261" s="1125" t="s">
        <v>700</v>
      </c>
      <c r="D261" s="1401"/>
      <c r="E261" s="1079" t="s">
        <v>701</v>
      </c>
      <c r="F261" s="1080">
        <f>'[2]Summary'!E257/15.6466</f>
        <v>0</v>
      </c>
      <c r="G261" s="1080">
        <f>'[2]Summary'!F257/15.6466</f>
        <v>0</v>
      </c>
      <c r="H261" s="1081">
        <f>'[2]Summary'!G257/15.6466</f>
        <v>0</v>
      </c>
      <c r="I261" s="1081">
        <f>'[2]Summary'!H257/15.6466</f>
        <v>0</v>
      </c>
      <c r="J261" s="1329">
        <f>'[2]Summary'!I257/15.6466</f>
        <v>0</v>
      </c>
      <c r="K261" s="1403"/>
      <c r="L261" s="1404"/>
      <c r="M261" s="1405"/>
      <c r="N261" s="1406"/>
      <c r="O261" s="1406"/>
      <c r="P261" s="1407"/>
      <c r="Q261" s="1089">
        <f t="shared" si="43"/>
        <v>0</v>
      </c>
      <c r="R261" s="1090" t="e">
        <f t="shared" si="54"/>
        <v>#DIV/0!</v>
      </c>
      <c r="S261" s="1390"/>
      <c r="T261" s="1391"/>
      <c r="U261" s="1058"/>
      <c r="V261" s="1057"/>
      <c r="W261" s="1057"/>
      <c r="X261" s="1058"/>
      <c r="Y261" s="1391"/>
      <c r="Z261" s="1391"/>
      <c r="AA261" s="1391"/>
      <c r="AB261" s="1391"/>
      <c r="AC261" s="1391"/>
      <c r="AD261" s="1391"/>
      <c r="AE261" s="1391"/>
      <c r="AF261" s="1391"/>
      <c r="AG261" s="1391"/>
    </row>
    <row r="262" spans="1:33" s="1312" customFormat="1" ht="12" hidden="1">
      <c r="A262" s="1399"/>
      <c r="B262" s="1400"/>
      <c r="C262" s="1125" t="s">
        <v>702</v>
      </c>
      <c r="D262" s="1401"/>
      <c r="E262" s="1079" t="s">
        <v>703</v>
      </c>
      <c r="F262" s="1080">
        <f>'[2]Summary'!E258/15.6466</f>
        <v>0</v>
      </c>
      <c r="G262" s="1080">
        <f>'[2]Summary'!F258/15.6466</f>
        <v>0</v>
      </c>
      <c r="H262" s="1081">
        <f>'[2]Summary'!G258/15.6466</f>
        <v>0</v>
      </c>
      <c r="I262" s="1081">
        <f>'[2]Summary'!H258/15.6466</f>
        <v>0</v>
      </c>
      <c r="J262" s="1329">
        <f>'[2]Summary'!I258/15.6466</f>
        <v>0</v>
      </c>
      <c r="K262" s="1403"/>
      <c r="L262" s="1404"/>
      <c r="M262" s="1405"/>
      <c r="N262" s="1406"/>
      <c r="O262" s="1406"/>
      <c r="P262" s="1407"/>
      <c r="Q262" s="1089">
        <f t="shared" si="43"/>
        <v>0</v>
      </c>
      <c r="R262" s="1090" t="e">
        <f t="shared" si="54"/>
        <v>#DIV/0!</v>
      </c>
      <c r="S262" s="1390"/>
      <c r="T262" s="1391"/>
      <c r="U262" s="1058"/>
      <c r="V262" s="1057"/>
      <c r="W262" s="1057"/>
      <c r="X262" s="1058"/>
      <c r="Y262" s="1391"/>
      <c r="Z262" s="1391"/>
      <c r="AA262" s="1391"/>
      <c r="AB262" s="1391"/>
      <c r="AC262" s="1391"/>
      <c r="AD262" s="1391"/>
      <c r="AE262" s="1391"/>
      <c r="AF262" s="1391"/>
      <c r="AG262" s="1391"/>
    </row>
    <row r="263" spans="1:33" s="1312" customFormat="1" ht="12" hidden="1">
      <c r="A263" s="1399"/>
      <c r="B263" s="1400"/>
      <c r="C263" s="1125" t="s">
        <v>704</v>
      </c>
      <c r="D263" s="1401"/>
      <c r="E263" s="1079" t="s">
        <v>705</v>
      </c>
      <c r="F263" s="1080">
        <f>'[2]Summary'!E259/15.6466</f>
        <v>0</v>
      </c>
      <c r="G263" s="1080">
        <f>'[2]Summary'!F259/15.6466</f>
        <v>0</v>
      </c>
      <c r="H263" s="1081">
        <f>'[2]Summary'!G259/15.6466</f>
        <v>0</v>
      </c>
      <c r="I263" s="1081">
        <f>'[2]Summary'!H259/15.6466</f>
        <v>0</v>
      </c>
      <c r="J263" s="1329">
        <f>'[2]Summary'!I259/15.6466</f>
        <v>0</v>
      </c>
      <c r="K263" s="1403"/>
      <c r="L263" s="1404"/>
      <c r="M263" s="1405"/>
      <c r="N263" s="1406"/>
      <c r="O263" s="1406"/>
      <c r="P263" s="1407"/>
      <c r="Q263" s="1089">
        <f t="shared" si="43"/>
        <v>0</v>
      </c>
      <c r="R263" s="1090" t="e">
        <f t="shared" si="54"/>
        <v>#DIV/0!</v>
      </c>
      <c r="S263" s="1390"/>
      <c r="T263" s="1391"/>
      <c r="U263" s="1058"/>
      <c r="V263" s="1057"/>
      <c r="W263" s="1057"/>
      <c r="X263" s="1058"/>
      <c r="Y263" s="1391"/>
      <c r="Z263" s="1391"/>
      <c r="AA263" s="1391"/>
      <c r="AB263" s="1391"/>
      <c r="AC263" s="1391"/>
      <c r="AD263" s="1391"/>
      <c r="AE263" s="1391"/>
      <c r="AF263" s="1391"/>
      <c r="AG263" s="1391"/>
    </row>
    <row r="264" spans="1:33" s="1312" customFormat="1" ht="12" hidden="1">
      <c r="A264" s="1399"/>
      <c r="B264" s="1400"/>
      <c r="C264" s="1125" t="s">
        <v>706</v>
      </c>
      <c r="D264" s="1401"/>
      <c r="E264" s="1079" t="s">
        <v>707</v>
      </c>
      <c r="F264" s="1080">
        <f>'[2]Summary'!E260/15.6466</f>
        <v>0</v>
      </c>
      <c r="G264" s="1080">
        <f>'[2]Summary'!F260/15.6466</f>
        <v>0</v>
      </c>
      <c r="H264" s="1081">
        <f>'[2]Summary'!G260/15.6466</f>
        <v>0</v>
      </c>
      <c r="I264" s="1081">
        <f>'[2]Summary'!H260/15.6466</f>
        <v>0</v>
      </c>
      <c r="J264" s="1329">
        <f>'[2]Summary'!I260/15.6466</f>
        <v>0</v>
      </c>
      <c r="K264" s="1217"/>
      <c r="L264" s="1218"/>
      <c r="M264" s="1219"/>
      <c r="N264" s="1402"/>
      <c r="O264" s="1402"/>
      <c r="P264" s="1321"/>
      <c r="Q264" s="1089">
        <f t="shared" si="43"/>
        <v>0</v>
      </c>
      <c r="R264" s="1090" t="e">
        <f t="shared" si="54"/>
        <v>#DIV/0!</v>
      </c>
      <c r="S264" s="1390"/>
      <c r="T264" s="1391"/>
      <c r="U264" s="1058"/>
      <c r="V264" s="1057"/>
      <c r="W264" s="1057"/>
      <c r="X264" s="1058"/>
      <c r="Y264" s="1391"/>
      <c r="Z264" s="1391"/>
      <c r="AA264" s="1391"/>
      <c r="AB264" s="1391"/>
      <c r="AC264" s="1391"/>
      <c r="AD264" s="1391"/>
      <c r="AE264" s="1391"/>
      <c r="AF264" s="1391"/>
      <c r="AG264" s="1391"/>
    </row>
    <row r="265" spans="1:33" s="1312" customFormat="1" ht="12" hidden="1">
      <c r="A265" s="1399"/>
      <c r="B265" s="1400"/>
      <c r="C265" s="1093"/>
      <c r="D265" s="1401"/>
      <c r="E265" s="1079"/>
      <c r="F265" s="1080">
        <f>'[2]Summary'!E261/15.6466</f>
        <v>0</v>
      </c>
      <c r="G265" s="1080">
        <f>'[2]Summary'!F261/15.6466</f>
        <v>0</v>
      </c>
      <c r="H265" s="1081">
        <f>'[2]Summary'!G261/15.6466</f>
        <v>0</v>
      </c>
      <c r="I265" s="1081">
        <f>'[2]Summary'!H261/15.6466</f>
        <v>0</v>
      </c>
      <c r="J265" s="1329">
        <f>'[2]Summary'!I261/15.6466</f>
        <v>0</v>
      </c>
      <c r="K265" s="1217"/>
      <c r="L265" s="1218"/>
      <c r="M265" s="1219"/>
      <c r="N265" s="1402"/>
      <c r="O265" s="1402"/>
      <c r="P265" s="1321"/>
      <c r="Q265" s="1089">
        <f t="shared" si="43"/>
        <v>0</v>
      </c>
      <c r="R265" s="1090" t="e">
        <f t="shared" si="54"/>
        <v>#DIV/0!</v>
      </c>
      <c r="S265" s="1390"/>
      <c r="T265" s="1391"/>
      <c r="U265" s="1058"/>
      <c r="V265" s="1057"/>
      <c r="W265" s="1057"/>
      <c r="X265" s="1058"/>
      <c r="Y265" s="1391"/>
      <c r="Z265" s="1391"/>
      <c r="AA265" s="1391"/>
      <c r="AB265" s="1391"/>
      <c r="AC265" s="1391"/>
      <c r="AD265" s="1391"/>
      <c r="AE265" s="1391"/>
      <c r="AF265" s="1391"/>
      <c r="AG265" s="1391"/>
    </row>
    <row r="266" spans="1:24" s="1398" customFormat="1" ht="12" hidden="1">
      <c r="A266" s="1408"/>
      <c r="B266" s="1409"/>
      <c r="C266" s="1410" t="s">
        <v>708</v>
      </c>
      <c r="D266" s="1411"/>
      <c r="E266" s="1152" t="s">
        <v>709</v>
      </c>
      <c r="F266" s="1080">
        <f>'[2]Summary'!E262/15.6466</f>
        <v>0</v>
      </c>
      <c r="G266" s="1080">
        <f>'[2]Summary'!F262/15.6466</f>
        <v>0</v>
      </c>
      <c r="H266" s="1081">
        <f>'[2]Summary'!G262/15.6466</f>
        <v>0</v>
      </c>
      <c r="I266" s="1081">
        <f>'[2]Summary'!H262/15.6466</f>
        <v>0</v>
      </c>
      <c r="J266" s="1329">
        <f>'[2]Summary'!I262/15.6466</f>
        <v>0</v>
      </c>
      <c r="K266" s="1096">
        <f aca="true" t="shared" si="57" ref="K266:P266">SUM(K267:K281)</f>
        <v>0</v>
      </c>
      <c r="L266" s="1112">
        <f t="shared" si="57"/>
        <v>0</v>
      </c>
      <c r="M266" s="1115">
        <f t="shared" si="57"/>
        <v>0</v>
      </c>
      <c r="N266" s="1144">
        <f t="shared" si="57"/>
        <v>0</v>
      </c>
      <c r="O266" s="1144">
        <f t="shared" si="57"/>
        <v>0</v>
      </c>
      <c r="P266" s="1145">
        <f t="shared" si="57"/>
        <v>0</v>
      </c>
      <c r="Q266" s="1089">
        <f t="shared" si="43"/>
        <v>0</v>
      </c>
      <c r="R266" s="1090" t="e">
        <f t="shared" si="54"/>
        <v>#DIV/0!</v>
      </c>
      <c r="S266" s="1397"/>
      <c r="U266" s="1058"/>
      <c r="V266" s="1057"/>
      <c r="W266" s="1057"/>
      <c r="X266" s="1058"/>
    </row>
    <row r="267" spans="1:24" s="1391" customFormat="1" ht="9.75" customHeight="1" hidden="1">
      <c r="A267" s="1399"/>
      <c r="B267" s="1400"/>
      <c r="C267" s="1125" t="s">
        <v>710</v>
      </c>
      <c r="D267" s="1401"/>
      <c r="E267" s="1079" t="s">
        <v>711</v>
      </c>
      <c r="F267" s="1080">
        <f>'[2]Summary'!E263/15.6466</f>
        <v>0</v>
      </c>
      <c r="G267" s="1080">
        <f>'[2]Summary'!F263/15.6466</f>
        <v>0</v>
      </c>
      <c r="H267" s="1081">
        <f>'[2]Summary'!G263/15.6466</f>
        <v>0</v>
      </c>
      <c r="I267" s="1081">
        <f>'[2]Summary'!H263/15.6466</f>
        <v>0</v>
      </c>
      <c r="J267" s="1329">
        <f>'[2]Summary'!I263/15.6466</f>
        <v>0</v>
      </c>
      <c r="K267" s="1217"/>
      <c r="L267" s="1218"/>
      <c r="M267" s="1219"/>
      <c r="N267" s="1402"/>
      <c r="O267" s="1402"/>
      <c r="P267" s="1321"/>
      <c r="Q267" s="1089">
        <f t="shared" si="43"/>
        <v>0</v>
      </c>
      <c r="R267" s="1090" t="e">
        <f t="shared" si="54"/>
        <v>#DIV/0!</v>
      </c>
      <c r="S267" s="1390"/>
      <c r="U267" s="1058"/>
      <c r="V267" s="1057"/>
      <c r="W267" s="1057"/>
      <c r="X267" s="1058"/>
    </row>
    <row r="268" spans="1:24" s="1368" customFormat="1" ht="12" hidden="1">
      <c r="A268" s="1393"/>
      <c r="B268" s="1394"/>
      <c r="C268" s="1139" t="s">
        <v>712</v>
      </c>
      <c r="D268" s="1396"/>
      <c r="E268" s="1211" t="s">
        <v>713</v>
      </c>
      <c r="F268" s="1080">
        <f>'[2]Summary'!E264/15.6466</f>
        <v>0</v>
      </c>
      <c r="G268" s="1080">
        <f>'[2]Summary'!F264/15.6466</f>
        <v>0</v>
      </c>
      <c r="H268" s="1081">
        <f>'[2]Summary'!G264/15.6466</f>
        <v>0</v>
      </c>
      <c r="I268" s="1081">
        <f>'[2]Summary'!H264/15.6466</f>
        <v>0</v>
      </c>
      <c r="J268" s="1329">
        <f>'[2]Summary'!I264/15.6466</f>
        <v>0</v>
      </c>
      <c r="K268" s="1217"/>
      <c r="L268" s="1218"/>
      <c r="M268" s="1332"/>
      <c r="N268" s="1220"/>
      <c r="O268" s="1220"/>
      <c r="P268" s="1349"/>
      <c r="Q268" s="1089">
        <f t="shared" si="43"/>
        <v>0</v>
      </c>
      <c r="R268" s="1090" t="e">
        <f t="shared" si="54"/>
        <v>#DIV/0!</v>
      </c>
      <c r="S268" s="1412"/>
      <c r="U268" s="1058"/>
      <c r="V268" s="1057"/>
      <c r="W268" s="1057"/>
      <c r="X268" s="1058"/>
    </row>
    <row r="269" spans="1:24" s="1368" customFormat="1" ht="12" hidden="1">
      <c r="A269" s="1393"/>
      <c r="B269" s="1394"/>
      <c r="C269" s="1139" t="s">
        <v>714</v>
      </c>
      <c r="D269" s="1396"/>
      <c r="E269" s="1211" t="s">
        <v>715</v>
      </c>
      <c r="F269" s="1080">
        <f>'[2]Summary'!E265/15.6466</f>
        <v>0</v>
      </c>
      <c r="G269" s="1080">
        <f>'[2]Summary'!F265/15.6466</f>
        <v>0</v>
      </c>
      <c r="H269" s="1081">
        <f>'[2]Summary'!G265/15.6466</f>
        <v>0</v>
      </c>
      <c r="I269" s="1081">
        <f>'[2]Summary'!H265/15.6466</f>
        <v>0</v>
      </c>
      <c r="J269" s="1329">
        <f>'[2]Summary'!I265/15.6466</f>
        <v>0</v>
      </c>
      <c r="K269" s="1413"/>
      <c r="L269" s="1414"/>
      <c r="M269" s="1415"/>
      <c r="N269" s="1416"/>
      <c r="O269" s="1416"/>
      <c r="P269" s="1417"/>
      <c r="Q269" s="1089">
        <f t="shared" si="43"/>
        <v>0</v>
      </c>
      <c r="R269" s="1090" t="e">
        <f t="shared" si="54"/>
        <v>#DIV/0!</v>
      </c>
      <c r="S269" s="1412"/>
      <c r="U269" s="1058"/>
      <c r="V269" s="1057"/>
      <c r="W269" s="1057"/>
      <c r="X269" s="1058"/>
    </row>
    <row r="270" spans="1:24" s="1391" customFormat="1" ht="9.75" customHeight="1" hidden="1">
      <c r="A270" s="1399"/>
      <c r="B270" s="1400"/>
      <c r="C270" s="1125" t="s">
        <v>716</v>
      </c>
      <c r="D270" s="1401"/>
      <c r="E270" s="1079" t="s">
        <v>717</v>
      </c>
      <c r="F270" s="1080">
        <f>'[2]Summary'!E266/15.6466</f>
        <v>0</v>
      </c>
      <c r="G270" s="1080">
        <f>'[2]Summary'!F266/15.6466</f>
        <v>0</v>
      </c>
      <c r="H270" s="1081">
        <f>'[2]Summary'!G266/15.6466</f>
        <v>0</v>
      </c>
      <c r="I270" s="1081">
        <f>'[2]Summary'!H266/15.6466</f>
        <v>0</v>
      </c>
      <c r="J270" s="1329">
        <f>'[2]Summary'!I266/15.6466</f>
        <v>0</v>
      </c>
      <c r="K270" s="1403"/>
      <c r="L270" s="1404"/>
      <c r="M270" s="1405"/>
      <c r="N270" s="1406"/>
      <c r="O270" s="1406"/>
      <c r="P270" s="1407"/>
      <c r="Q270" s="1089">
        <f t="shared" si="43"/>
        <v>0</v>
      </c>
      <c r="R270" s="1090" t="e">
        <f t="shared" si="54"/>
        <v>#DIV/0!</v>
      </c>
      <c r="S270" s="1390"/>
      <c r="U270" s="1058"/>
      <c r="V270" s="1057"/>
      <c r="W270" s="1057"/>
      <c r="X270" s="1058"/>
    </row>
    <row r="271" spans="1:24" s="1350" customFormat="1" ht="12" hidden="1">
      <c r="A271" s="1399"/>
      <c r="B271" s="1400"/>
      <c r="C271" s="1125" t="s">
        <v>718</v>
      </c>
      <c r="D271" s="1401"/>
      <c r="E271" s="1079" t="s">
        <v>719</v>
      </c>
      <c r="F271" s="1080">
        <f>'[2]Summary'!E267/15.6466</f>
        <v>0</v>
      </c>
      <c r="G271" s="1080">
        <f>'[2]Summary'!F267/15.6466</f>
        <v>0</v>
      </c>
      <c r="H271" s="1081">
        <f>'[2]Summary'!G267/15.6466</f>
        <v>0</v>
      </c>
      <c r="I271" s="1081">
        <f>'[2]Summary'!H267/15.6466</f>
        <v>0</v>
      </c>
      <c r="J271" s="1329">
        <f>'[2]Summary'!I267/15.6466</f>
        <v>0</v>
      </c>
      <c r="K271" s="1418"/>
      <c r="L271" s="1419"/>
      <c r="M271" s="1420"/>
      <c r="N271" s="1421"/>
      <c r="O271" s="1421"/>
      <c r="P271" s="1422"/>
      <c r="Q271" s="1089">
        <f t="shared" si="43"/>
        <v>0</v>
      </c>
      <c r="R271" s="1090" t="e">
        <f t="shared" si="54"/>
        <v>#DIV/0!</v>
      </c>
      <c r="S271" s="1200"/>
      <c r="U271" s="1058"/>
      <c r="V271" s="1057"/>
      <c r="W271" s="1057"/>
      <c r="X271" s="1058"/>
    </row>
    <row r="272" spans="1:24" s="1398" customFormat="1" ht="12" hidden="1">
      <c r="A272" s="1393"/>
      <c r="B272" s="1394"/>
      <c r="C272" s="1139" t="s">
        <v>720</v>
      </c>
      <c r="D272" s="1396"/>
      <c r="E272" s="1211" t="s">
        <v>721</v>
      </c>
      <c r="F272" s="1080">
        <f>'[2]Summary'!E268/15.6466</f>
        <v>0</v>
      </c>
      <c r="G272" s="1080">
        <f>'[2]Summary'!F268/15.6466</f>
        <v>0</v>
      </c>
      <c r="H272" s="1081">
        <f>'[2]Summary'!G268/15.6466</f>
        <v>0</v>
      </c>
      <c r="I272" s="1081">
        <f>'[2]Summary'!H268/15.6466</f>
        <v>0</v>
      </c>
      <c r="J272" s="1329">
        <f>'[2]Summary'!I268/15.6466</f>
        <v>0</v>
      </c>
      <c r="K272" s="1423"/>
      <c r="L272" s="1424"/>
      <c r="M272" s="1425"/>
      <c r="N272" s="1426"/>
      <c r="O272" s="1426"/>
      <c r="P272" s="1427"/>
      <c r="Q272" s="1089">
        <f t="shared" si="43"/>
        <v>0</v>
      </c>
      <c r="R272" s="1090" t="e">
        <f t="shared" si="54"/>
        <v>#DIV/0!</v>
      </c>
      <c r="S272" s="1397"/>
      <c r="U272" s="1058"/>
      <c r="V272" s="1057"/>
      <c r="W272" s="1057"/>
      <c r="X272" s="1058"/>
    </row>
    <row r="273" spans="1:24" s="1398" customFormat="1" ht="12" hidden="1">
      <c r="A273" s="1393"/>
      <c r="B273" s="1394"/>
      <c r="C273" s="1139" t="s">
        <v>722</v>
      </c>
      <c r="D273" s="1396"/>
      <c r="E273" s="1211" t="s">
        <v>723</v>
      </c>
      <c r="F273" s="1080">
        <f>'[2]Summary'!E269/15.6466</f>
        <v>0</v>
      </c>
      <c r="G273" s="1080">
        <f>'[2]Summary'!F269/15.6466</f>
        <v>0</v>
      </c>
      <c r="H273" s="1081">
        <f>'[2]Summary'!G269/15.6466</f>
        <v>0</v>
      </c>
      <c r="I273" s="1081">
        <f>'[2]Summary'!H269/15.6466</f>
        <v>0</v>
      </c>
      <c r="J273" s="1329">
        <f>'[2]Summary'!I269/15.6466</f>
        <v>0</v>
      </c>
      <c r="K273" s="1423"/>
      <c r="L273" s="1424"/>
      <c r="M273" s="1425"/>
      <c r="N273" s="1426"/>
      <c r="O273" s="1426"/>
      <c r="P273" s="1427"/>
      <c r="Q273" s="1089">
        <f t="shared" si="43"/>
        <v>0</v>
      </c>
      <c r="R273" s="1090" t="e">
        <f t="shared" si="54"/>
        <v>#DIV/0!</v>
      </c>
      <c r="S273" s="1397"/>
      <c r="U273" s="1058"/>
      <c r="V273" s="1057"/>
      <c r="W273" s="1057"/>
      <c r="X273" s="1058"/>
    </row>
    <row r="274" spans="1:24" s="1398" customFormat="1" ht="12" hidden="1">
      <c r="A274" s="1393"/>
      <c r="B274" s="1394"/>
      <c r="C274" s="1139" t="s">
        <v>724</v>
      </c>
      <c r="D274" s="1396"/>
      <c r="E274" s="1211" t="s">
        <v>725</v>
      </c>
      <c r="F274" s="1080">
        <f>'[2]Summary'!E270/15.6466</f>
        <v>0</v>
      </c>
      <c r="G274" s="1080">
        <f>'[2]Summary'!F270/15.6466</f>
        <v>0</v>
      </c>
      <c r="H274" s="1081">
        <f>'[2]Summary'!G270/15.6466</f>
        <v>0</v>
      </c>
      <c r="I274" s="1081">
        <f>'[2]Summary'!H270/15.6466</f>
        <v>0</v>
      </c>
      <c r="J274" s="1329">
        <f>'[2]Summary'!I270/15.6466</f>
        <v>0</v>
      </c>
      <c r="K274" s="1423"/>
      <c r="L274" s="1424"/>
      <c r="M274" s="1425"/>
      <c r="N274" s="1426"/>
      <c r="O274" s="1426"/>
      <c r="P274" s="1427"/>
      <c r="Q274" s="1089">
        <f t="shared" si="43"/>
        <v>0</v>
      </c>
      <c r="R274" s="1090" t="e">
        <f t="shared" si="54"/>
        <v>#DIV/0!</v>
      </c>
      <c r="S274" s="1397"/>
      <c r="U274" s="1058"/>
      <c r="V274" s="1057"/>
      <c r="W274" s="1057"/>
      <c r="X274" s="1058"/>
    </row>
    <row r="275" spans="1:24" s="1350" customFormat="1" ht="12" hidden="1">
      <c r="A275" s="1399"/>
      <c r="B275" s="1400"/>
      <c r="C275" s="1125" t="s">
        <v>726</v>
      </c>
      <c r="D275" s="1401"/>
      <c r="E275" s="1079" t="s">
        <v>727</v>
      </c>
      <c r="F275" s="1080">
        <f>'[2]Summary'!E271/15.6466</f>
        <v>0</v>
      </c>
      <c r="G275" s="1080">
        <f>'[2]Summary'!F271/15.6466</f>
        <v>0</v>
      </c>
      <c r="H275" s="1081">
        <f>'[2]Summary'!G271/15.6466</f>
        <v>0</v>
      </c>
      <c r="I275" s="1081">
        <f>'[2]Summary'!H271/15.6466</f>
        <v>0</v>
      </c>
      <c r="J275" s="1329">
        <f>'[2]Summary'!I271/15.6466</f>
        <v>0</v>
      </c>
      <c r="K275" s="1418"/>
      <c r="L275" s="1419"/>
      <c r="M275" s="1420"/>
      <c r="N275" s="1421"/>
      <c r="O275" s="1421"/>
      <c r="P275" s="1422"/>
      <c r="Q275" s="1089">
        <f t="shared" si="43"/>
        <v>0</v>
      </c>
      <c r="R275" s="1090" t="e">
        <f t="shared" si="54"/>
        <v>#DIV/0!</v>
      </c>
      <c r="S275" s="1200"/>
      <c r="U275" s="1058"/>
      <c r="V275" s="1057"/>
      <c r="W275" s="1057"/>
      <c r="X275" s="1058"/>
    </row>
    <row r="276" spans="1:24" s="1398" customFormat="1" ht="12" hidden="1">
      <c r="A276" s="1393"/>
      <c r="B276" s="1394"/>
      <c r="C276" s="1139" t="s">
        <v>728</v>
      </c>
      <c r="D276" s="1396"/>
      <c r="E276" s="1211" t="s">
        <v>729</v>
      </c>
      <c r="F276" s="1080">
        <f>'[2]Summary'!E272/15.6466</f>
        <v>0</v>
      </c>
      <c r="G276" s="1080">
        <f>'[2]Summary'!F272/15.6466</f>
        <v>0</v>
      </c>
      <c r="H276" s="1081">
        <f>'[2]Summary'!G272/15.6466</f>
        <v>0</v>
      </c>
      <c r="I276" s="1081">
        <f>'[2]Summary'!H272/15.6466</f>
        <v>0</v>
      </c>
      <c r="J276" s="1329">
        <f>'[2]Summary'!I272/15.6466</f>
        <v>0</v>
      </c>
      <c r="K276" s="1423"/>
      <c r="L276" s="1424"/>
      <c r="M276" s="1425"/>
      <c r="N276" s="1426"/>
      <c r="O276" s="1426"/>
      <c r="P276" s="1427"/>
      <c r="Q276" s="1089">
        <f t="shared" si="43"/>
        <v>0</v>
      </c>
      <c r="R276" s="1090" t="e">
        <f t="shared" si="54"/>
        <v>#DIV/0!</v>
      </c>
      <c r="S276" s="1397"/>
      <c r="U276" s="1058"/>
      <c r="V276" s="1057"/>
      <c r="W276" s="1057"/>
      <c r="X276" s="1058"/>
    </row>
    <row r="277" spans="1:24" s="1398" customFormat="1" ht="12" hidden="1">
      <c r="A277" s="1393"/>
      <c r="B277" s="1394"/>
      <c r="C277" s="1139" t="s">
        <v>730</v>
      </c>
      <c r="D277" s="1396"/>
      <c r="E277" s="1211" t="s">
        <v>731</v>
      </c>
      <c r="F277" s="1080">
        <f>'[2]Summary'!E273/15.6466</f>
        <v>0</v>
      </c>
      <c r="G277" s="1080">
        <f>'[2]Summary'!F273/15.6466</f>
        <v>0</v>
      </c>
      <c r="H277" s="1081">
        <f>'[2]Summary'!G273/15.6466</f>
        <v>0</v>
      </c>
      <c r="I277" s="1081">
        <f>'[2]Summary'!H273/15.6466</f>
        <v>0</v>
      </c>
      <c r="J277" s="1329">
        <f>'[2]Summary'!I273/15.6466</f>
        <v>0</v>
      </c>
      <c r="K277" s="1423"/>
      <c r="L277" s="1424"/>
      <c r="M277" s="1425"/>
      <c r="N277" s="1426"/>
      <c r="O277" s="1426"/>
      <c r="P277" s="1427"/>
      <c r="Q277" s="1089">
        <f t="shared" si="43"/>
        <v>0</v>
      </c>
      <c r="R277" s="1090" t="e">
        <f t="shared" si="54"/>
        <v>#DIV/0!</v>
      </c>
      <c r="S277" s="1397"/>
      <c r="U277" s="1058"/>
      <c r="V277" s="1057"/>
      <c r="W277" s="1057"/>
      <c r="X277" s="1058"/>
    </row>
    <row r="278" spans="1:24" s="1398" customFormat="1" ht="12" hidden="1">
      <c r="A278" s="1393"/>
      <c r="B278" s="1394"/>
      <c r="C278" s="1139" t="s">
        <v>732</v>
      </c>
      <c r="D278" s="1396"/>
      <c r="E278" s="1211" t="s">
        <v>733</v>
      </c>
      <c r="F278" s="1080">
        <f>'[2]Summary'!E274/15.6466</f>
        <v>0</v>
      </c>
      <c r="G278" s="1080">
        <f>'[2]Summary'!F274/15.6466</f>
        <v>0</v>
      </c>
      <c r="H278" s="1081">
        <f>'[2]Summary'!G274/15.6466</f>
        <v>0</v>
      </c>
      <c r="I278" s="1081">
        <f>'[2]Summary'!H274/15.6466</f>
        <v>0</v>
      </c>
      <c r="J278" s="1329">
        <f>'[2]Summary'!I274/15.6466</f>
        <v>0</v>
      </c>
      <c r="K278" s="1423"/>
      <c r="L278" s="1424"/>
      <c r="M278" s="1425"/>
      <c r="N278" s="1426"/>
      <c r="O278" s="1426"/>
      <c r="P278" s="1427"/>
      <c r="Q278" s="1089">
        <f aca="true" t="shared" si="58" ref="Q278:Q314">I278-F278</f>
        <v>0</v>
      </c>
      <c r="R278" s="1090" t="e">
        <f t="shared" si="54"/>
        <v>#DIV/0!</v>
      </c>
      <c r="S278" s="1397"/>
      <c r="U278" s="1058"/>
      <c r="V278" s="1057"/>
      <c r="W278" s="1057"/>
      <c r="X278" s="1058"/>
    </row>
    <row r="279" spans="1:24" s="1350" customFormat="1" ht="12" hidden="1">
      <c r="A279" s="1399"/>
      <c r="B279" s="1400"/>
      <c r="C279" s="1125" t="s">
        <v>734</v>
      </c>
      <c r="D279" s="1401"/>
      <c r="E279" s="1079" t="s">
        <v>735</v>
      </c>
      <c r="F279" s="1080">
        <f>'[2]Summary'!E275/15.6466</f>
        <v>0</v>
      </c>
      <c r="G279" s="1080">
        <f>'[2]Summary'!F275/15.6466</f>
        <v>0</v>
      </c>
      <c r="H279" s="1081">
        <f>'[2]Summary'!G275/15.6466</f>
        <v>0</v>
      </c>
      <c r="I279" s="1081">
        <f>'[2]Summary'!H275/15.6466</f>
        <v>0</v>
      </c>
      <c r="J279" s="1329">
        <f>'[2]Summary'!I275/15.6466</f>
        <v>0</v>
      </c>
      <c r="K279" s="1418"/>
      <c r="L279" s="1419"/>
      <c r="M279" s="1420"/>
      <c r="N279" s="1421"/>
      <c r="O279" s="1421"/>
      <c r="P279" s="1422"/>
      <c r="Q279" s="1089">
        <f t="shared" si="58"/>
        <v>0</v>
      </c>
      <c r="R279" s="1090" t="e">
        <f t="shared" si="54"/>
        <v>#DIV/0!</v>
      </c>
      <c r="S279" s="1200"/>
      <c r="U279" s="1058"/>
      <c r="V279" s="1057"/>
      <c r="W279" s="1057"/>
      <c r="X279" s="1058"/>
    </row>
    <row r="280" spans="1:24" s="1398" customFormat="1" ht="12" hidden="1">
      <c r="A280" s="1393"/>
      <c r="B280" s="1394"/>
      <c r="C280" s="1139" t="s">
        <v>736</v>
      </c>
      <c r="D280" s="1396"/>
      <c r="E280" s="1211" t="s">
        <v>737</v>
      </c>
      <c r="F280" s="1080">
        <f>'[2]Summary'!E276/15.6466</f>
        <v>0</v>
      </c>
      <c r="G280" s="1080">
        <f>'[2]Summary'!F276/15.6466</f>
        <v>0</v>
      </c>
      <c r="H280" s="1081">
        <f>'[2]Summary'!G276/15.6466</f>
        <v>0</v>
      </c>
      <c r="I280" s="1081">
        <f>'[2]Summary'!H276/15.6466</f>
        <v>0</v>
      </c>
      <c r="J280" s="1329">
        <f>'[2]Summary'!I276/15.6466</f>
        <v>0</v>
      </c>
      <c r="K280" s="1423"/>
      <c r="L280" s="1424"/>
      <c r="M280" s="1425"/>
      <c r="N280" s="1426"/>
      <c r="O280" s="1426"/>
      <c r="P280" s="1427"/>
      <c r="Q280" s="1089">
        <f t="shared" si="58"/>
        <v>0</v>
      </c>
      <c r="R280" s="1090" t="e">
        <f t="shared" si="54"/>
        <v>#DIV/0!</v>
      </c>
      <c r="S280" s="1397"/>
      <c r="U280" s="1058"/>
      <c r="V280" s="1057"/>
      <c r="W280" s="1057"/>
      <c r="X280" s="1058"/>
    </row>
    <row r="281" spans="1:24" s="1398" customFormat="1" ht="12" hidden="1">
      <c r="A281" s="1393"/>
      <c r="B281" s="1394"/>
      <c r="C281" s="1139" t="s">
        <v>738</v>
      </c>
      <c r="D281" s="1396"/>
      <c r="E281" s="1211" t="s">
        <v>739</v>
      </c>
      <c r="F281" s="1080">
        <f>'[2]Summary'!E277/15.6466</f>
        <v>0</v>
      </c>
      <c r="G281" s="1080">
        <f>'[2]Summary'!F277/15.6466</f>
        <v>0</v>
      </c>
      <c r="H281" s="1081">
        <f>'[2]Summary'!G277/15.6466</f>
        <v>0</v>
      </c>
      <c r="I281" s="1081">
        <f>'[2]Summary'!H277/15.6466</f>
        <v>0</v>
      </c>
      <c r="J281" s="1329">
        <f>'[2]Summary'!I277/15.6466</f>
        <v>0</v>
      </c>
      <c r="K281" s="1423"/>
      <c r="L281" s="1424"/>
      <c r="M281" s="1425"/>
      <c r="N281" s="1426"/>
      <c r="O281" s="1426"/>
      <c r="P281" s="1427"/>
      <c r="Q281" s="1089">
        <f t="shared" si="58"/>
        <v>0</v>
      </c>
      <c r="R281" s="1090" t="e">
        <f t="shared" si="54"/>
        <v>#DIV/0!</v>
      </c>
      <c r="S281" s="1397"/>
      <c r="U281" s="1058"/>
      <c r="V281" s="1057"/>
      <c r="W281" s="1057"/>
      <c r="X281" s="1058"/>
    </row>
    <row r="282" spans="1:24" s="1350" customFormat="1" ht="12" hidden="1">
      <c r="A282" s="1399"/>
      <c r="B282" s="1400"/>
      <c r="C282" s="1093"/>
      <c r="D282" s="1401"/>
      <c r="E282" s="1079"/>
      <c r="F282" s="1080">
        <f>'[2]Summary'!E278/15.6466</f>
        <v>0</v>
      </c>
      <c r="G282" s="1080">
        <f>'[2]Summary'!F278/15.6466</f>
        <v>0</v>
      </c>
      <c r="H282" s="1081">
        <f>'[2]Summary'!G278/15.6466</f>
        <v>0</v>
      </c>
      <c r="I282" s="1081">
        <f>'[2]Summary'!H278/15.6466</f>
        <v>0</v>
      </c>
      <c r="J282" s="1329">
        <f>'[2]Summary'!I278/15.6466</f>
        <v>0</v>
      </c>
      <c r="K282" s="1418"/>
      <c r="L282" s="1419"/>
      <c r="M282" s="1420"/>
      <c r="N282" s="1421"/>
      <c r="O282" s="1421"/>
      <c r="P282" s="1422"/>
      <c r="Q282" s="1089">
        <f t="shared" si="58"/>
        <v>0</v>
      </c>
      <c r="R282" s="1090" t="e">
        <f t="shared" si="54"/>
        <v>#DIV/0!</v>
      </c>
      <c r="S282" s="1200"/>
      <c r="U282" s="1058"/>
      <c r="V282" s="1057"/>
      <c r="W282" s="1057"/>
      <c r="X282" s="1058"/>
    </row>
    <row r="283" spans="1:24" s="1350" customFormat="1" ht="12" hidden="1">
      <c r="A283" s="1408"/>
      <c r="B283" s="1409"/>
      <c r="C283" s="1410" t="s">
        <v>740</v>
      </c>
      <c r="D283" s="1411"/>
      <c r="E283" s="1152" t="s">
        <v>741</v>
      </c>
      <c r="F283" s="1080">
        <f>'[2]Summary'!E279/15.6466</f>
        <v>0</v>
      </c>
      <c r="G283" s="1080">
        <f>'[2]Summary'!F279/15.6466</f>
        <v>0</v>
      </c>
      <c r="H283" s="1081">
        <f>'[2]Summary'!G279/15.6466</f>
        <v>0</v>
      </c>
      <c r="I283" s="1081">
        <f>'[2]Summary'!H279/15.6466</f>
        <v>0</v>
      </c>
      <c r="J283" s="1329">
        <f>'[2]Summary'!I279/15.6466</f>
        <v>0</v>
      </c>
      <c r="K283" s="1128">
        <f aca="true" t="shared" si="59" ref="K283:P283">SUM(K284:K292)</f>
        <v>0</v>
      </c>
      <c r="L283" s="1084">
        <f t="shared" si="59"/>
        <v>0</v>
      </c>
      <c r="M283" s="1129">
        <f t="shared" si="59"/>
        <v>0</v>
      </c>
      <c r="N283" s="1209">
        <f t="shared" si="59"/>
        <v>0</v>
      </c>
      <c r="O283" s="1209">
        <f t="shared" si="59"/>
        <v>0</v>
      </c>
      <c r="P283" s="1210">
        <f t="shared" si="59"/>
        <v>0</v>
      </c>
      <c r="Q283" s="1089">
        <f t="shared" si="58"/>
        <v>0</v>
      </c>
      <c r="R283" s="1090" t="e">
        <f t="shared" si="54"/>
        <v>#DIV/0!</v>
      </c>
      <c r="S283" s="1200"/>
      <c r="U283" s="1058"/>
      <c r="V283" s="1057"/>
      <c r="W283" s="1057"/>
      <c r="X283" s="1058"/>
    </row>
    <row r="284" spans="1:24" s="1350" customFormat="1" ht="12" hidden="1">
      <c r="A284" s="1428"/>
      <c r="B284" s="1429"/>
      <c r="C284" s="1125" t="s">
        <v>742</v>
      </c>
      <c r="D284" s="1401"/>
      <c r="E284" s="1079" t="s">
        <v>743</v>
      </c>
      <c r="F284" s="1080">
        <f>'[2]Summary'!E280/15.6466</f>
        <v>0</v>
      </c>
      <c r="G284" s="1080">
        <f>'[2]Summary'!F280/15.6466</f>
        <v>0</v>
      </c>
      <c r="H284" s="1081">
        <f>'[2]Summary'!G280/15.6466</f>
        <v>0</v>
      </c>
      <c r="I284" s="1081">
        <f>'[2]Summary'!H280/15.6466</f>
        <v>0</v>
      </c>
      <c r="J284" s="1329">
        <f>'[2]Summary'!I280/15.6466</f>
        <v>0</v>
      </c>
      <c r="K284" s="1418"/>
      <c r="L284" s="1419"/>
      <c r="M284" s="1420"/>
      <c r="N284" s="1421"/>
      <c r="O284" s="1421"/>
      <c r="P284" s="1422"/>
      <c r="Q284" s="1089">
        <f t="shared" si="58"/>
        <v>0</v>
      </c>
      <c r="R284" s="1090" t="e">
        <f t="shared" si="54"/>
        <v>#DIV/0!</v>
      </c>
      <c r="S284" s="1200"/>
      <c r="U284" s="1058"/>
      <c r="V284" s="1057"/>
      <c r="W284" s="1057"/>
      <c r="X284" s="1058"/>
    </row>
    <row r="285" spans="1:24" s="1398" customFormat="1" ht="12" hidden="1">
      <c r="A285" s="1430"/>
      <c r="B285" s="1431"/>
      <c r="C285" s="1139" t="s">
        <v>744</v>
      </c>
      <c r="D285" s="1396"/>
      <c r="E285" s="1211" t="s">
        <v>745</v>
      </c>
      <c r="F285" s="1080">
        <f>'[2]Summary'!E281/15.6466</f>
        <v>0</v>
      </c>
      <c r="G285" s="1080">
        <f>'[2]Summary'!F281/15.6466</f>
        <v>0</v>
      </c>
      <c r="H285" s="1081">
        <f>'[2]Summary'!G281/15.6466</f>
        <v>0</v>
      </c>
      <c r="I285" s="1081">
        <f>'[2]Summary'!H281/15.6466</f>
        <v>0</v>
      </c>
      <c r="J285" s="1329">
        <f>'[2]Summary'!I281/15.6466</f>
        <v>0</v>
      </c>
      <c r="K285" s="1423"/>
      <c r="L285" s="1424"/>
      <c r="M285" s="1425"/>
      <c r="N285" s="1426"/>
      <c r="O285" s="1426"/>
      <c r="P285" s="1427"/>
      <c r="Q285" s="1089">
        <f t="shared" si="58"/>
        <v>0</v>
      </c>
      <c r="R285" s="1090" t="e">
        <f t="shared" si="54"/>
        <v>#DIV/0!</v>
      </c>
      <c r="S285" s="1397"/>
      <c r="U285" s="1058"/>
      <c r="V285" s="1057"/>
      <c r="W285" s="1057"/>
      <c r="X285" s="1058"/>
    </row>
    <row r="286" spans="1:24" s="1398" customFormat="1" ht="12" hidden="1">
      <c r="A286" s="1430"/>
      <c r="B286" s="1431"/>
      <c r="C286" s="1432" t="s">
        <v>746</v>
      </c>
      <c r="D286" s="1396"/>
      <c r="E286" s="1211" t="s">
        <v>747</v>
      </c>
      <c r="F286" s="1080">
        <f>'[2]Summary'!E282/15.6466</f>
        <v>0</v>
      </c>
      <c r="G286" s="1080">
        <f>'[2]Summary'!F282/15.6466</f>
        <v>0</v>
      </c>
      <c r="H286" s="1081">
        <f>'[2]Summary'!G282/15.6466</f>
        <v>0</v>
      </c>
      <c r="I286" s="1081">
        <f>'[2]Summary'!H282/15.6466</f>
        <v>0</v>
      </c>
      <c r="J286" s="1329">
        <f>'[2]Summary'!I282/15.6466</f>
        <v>0</v>
      </c>
      <c r="K286" s="1423"/>
      <c r="L286" s="1424"/>
      <c r="M286" s="1425"/>
      <c r="N286" s="1426"/>
      <c r="O286" s="1426"/>
      <c r="P286" s="1427"/>
      <c r="Q286" s="1089">
        <f t="shared" si="58"/>
        <v>0</v>
      </c>
      <c r="R286" s="1090" t="e">
        <f t="shared" si="54"/>
        <v>#DIV/0!</v>
      </c>
      <c r="S286" s="1397"/>
      <c r="U286" s="1058"/>
      <c r="V286" s="1057"/>
      <c r="W286" s="1057"/>
      <c r="X286" s="1058"/>
    </row>
    <row r="287" spans="1:24" s="1398" customFormat="1" ht="12" hidden="1">
      <c r="A287" s="1430"/>
      <c r="B287" s="1431"/>
      <c r="C287" s="1139" t="s">
        <v>748</v>
      </c>
      <c r="D287" s="1396"/>
      <c r="E287" s="1211" t="s">
        <v>749</v>
      </c>
      <c r="F287" s="1080">
        <f>'[2]Summary'!E283/15.6466</f>
        <v>0</v>
      </c>
      <c r="G287" s="1080">
        <f>'[2]Summary'!F283/15.6466</f>
        <v>0</v>
      </c>
      <c r="H287" s="1081">
        <f>'[2]Summary'!G283/15.6466</f>
        <v>0</v>
      </c>
      <c r="I287" s="1081">
        <f>'[2]Summary'!H283/15.6466</f>
        <v>0</v>
      </c>
      <c r="J287" s="1329">
        <f>'[2]Summary'!I283/15.6466</f>
        <v>0</v>
      </c>
      <c r="K287" s="1423"/>
      <c r="L287" s="1424"/>
      <c r="M287" s="1425"/>
      <c r="N287" s="1426"/>
      <c r="O287" s="1426"/>
      <c r="P287" s="1427"/>
      <c r="Q287" s="1089">
        <f t="shared" si="58"/>
        <v>0</v>
      </c>
      <c r="R287" s="1090" t="e">
        <f t="shared" si="54"/>
        <v>#DIV/0!</v>
      </c>
      <c r="S287" s="1397"/>
      <c r="U287" s="1058"/>
      <c r="V287" s="1057"/>
      <c r="W287" s="1057"/>
      <c r="X287" s="1058"/>
    </row>
    <row r="288" spans="1:24" s="1350" customFormat="1" ht="12" hidden="1">
      <c r="A288" s="1428"/>
      <c r="B288" s="1429"/>
      <c r="C288" s="1125" t="s">
        <v>750</v>
      </c>
      <c r="D288" s="1401"/>
      <c r="E288" s="1079" t="s">
        <v>751</v>
      </c>
      <c r="F288" s="1080">
        <f>'[2]Summary'!E284/15.6466</f>
        <v>0</v>
      </c>
      <c r="G288" s="1080">
        <f>'[2]Summary'!F284/15.6466</f>
        <v>0</v>
      </c>
      <c r="H288" s="1081">
        <f>'[2]Summary'!G284/15.6466</f>
        <v>0</v>
      </c>
      <c r="I288" s="1081">
        <f>'[2]Summary'!H284/15.6466</f>
        <v>0</v>
      </c>
      <c r="J288" s="1329">
        <f>'[2]Summary'!I284/15.6466</f>
        <v>0</v>
      </c>
      <c r="K288" s="1418"/>
      <c r="L288" s="1419"/>
      <c r="M288" s="1420"/>
      <c r="N288" s="1421"/>
      <c r="O288" s="1421"/>
      <c r="P288" s="1422"/>
      <c r="Q288" s="1089">
        <f t="shared" si="58"/>
        <v>0</v>
      </c>
      <c r="R288" s="1090" t="e">
        <f t="shared" si="54"/>
        <v>#DIV/0!</v>
      </c>
      <c r="S288" s="1200"/>
      <c r="U288" s="1058"/>
      <c r="V288" s="1057"/>
      <c r="W288" s="1057"/>
      <c r="X288" s="1058"/>
    </row>
    <row r="289" spans="1:24" s="1398" customFormat="1" ht="12" hidden="1">
      <c r="A289" s="1430"/>
      <c r="B289" s="1431"/>
      <c r="C289" s="1139" t="s">
        <v>752</v>
      </c>
      <c r="D289" s="1396"/>
      <c r="E289" s="1211" t="s">
        <v>753</v>
      </c>
      <c r="F289" s="1080">
        <f>'[2]Summary'!E285/15.6466</f>
        <v>0</v>
      </c>
      <c r="G289" s="1080">
        <f>'[2]Summary'!F285/15.6466</f>
        <v>0</v>
      </c>
      <c r="H289" s="1081">
        <f>'[2]Summary'!G285/15.6466</f>
        <v>0</v>
      </c>
      <c r="I289" s="1081">
        <f>'[2]Summary'!H285/15.6466</f>
        <v>0</v>
      </c>
      <c r="J289" s="1329">
        <f>'[2]Summary'!I285/15.6466</f>
        <v>0</v>
      </c>
      <c r="K289" s="1433"/>
      <c r="L289" s="1434"/>
      <c r="M289" s="1435"/>
      <c r="N289" s="1436"/>
      <c r="O289" s="1436"/>
      <c r="P289" s="1437"/>
      <c r="Q289" s="1089">
        <f t="shared" si="58"/>
        <v>0</v>
      </c>
      <c r="R289" s="1090" t="e">
        <f t="shared" si="54"/>
        <v>#DIV/0!</v>
      </c>
      <c r="S289" s="1397"/>
      <c r="U289" s="1058"/>
      <c r="V289" s="1057"/>
      <c r="W289" s="1057"/>
      <c r="X289" s="1058"/>
    </row>
    <row r="290" spans="1:24" s="1368" customFormat="1" ht="12" hidden="1">
      <c r="A290" s="1430"/>
      <c r="B290" s="1431"/>
      <c r="C290" s="1432" t="s">
        <v>754</v>
      </c>
      <c r="D290" s="1396"/>
      <c r="E290" s="1211" t="s">
        <v>755</v>
      </c>
      <c r="F290" s="1080">
        <f>'[2]Summary'!E286/15.6466</f>
        <v>0</v>
      </c>
      <c r="G290" s="1080">
        <f>'[2]Summary'!F286/15.6466</f>
        <v>0</v>
      </c>
      <c r="H290" s="1081">
        <f>'[2]Summary'!G286/15.6466</f>
        <v>0</v>
      </c>
      <c r="I290" s="1081">
        <f>'[2]Summary'!H286/15.6466</f>
        <v>0</v>
      </c>
      <c r="J290" s="1329">
        <f>'[2]Summary'!I286/15.6466</f>
        <v>0</v>
      </c>
      <c r="K290" s="1096"/>
      <c r="L290" s="1112"/>
      <c r="M290" s="1115"/>
      <c r="N290" s="1144"/>
      <c r="O290" s="1144"/>
      <c r="P290" s="1145"/>
      <c r="Q290" s="1089">
        <f t="shared" si="58"/>
        <v>0</v>
      </c>
      <c r="R290" s="1090" t="e">
        <f t="shared" si="54"/>
        <v>#DIV/0!</v>
      </c>
      <c r="S290" s="1412"/>
      <c r="U290" s="1058"/>
      <c r="V290" s="1057"/>
      <c r="W290" s="1057"/>
      <c r="X290" s="1058"/>
    </row>
    <row r="291" spans="1:24" s="563" customFormat="1" ht="15" customHeight="1" hidden="1">
      <c r="A291" s="1428"/>
      <c r="B291" s="1429"/>
      <c r="C291" s="1125" t="s">
        <v>756</v>
      </c>
      <c r="D291" s="1401"/>
      <c r="E291" s="1079" t="s">
        <v>757</v>
      </c>
      <c r="F291" s="1080">
        <f>'[2]Summary'!E287/15.6466</f>
        <v>0</v>
      </c>
      <c r="G291" s="1080">
        <f>'[2]Summary'!F287/15.6466</f>
        <v>0</v>
      </c>
      <c r="H291" s="1081">
        <f>'[2]Summary'!G287/15.6466</f>
        <v>0</v>
      </c>
      <c r="I291" s="1081">
        <f>'[2]Summary'!H287/15.6466</f>
        <v>0</v>
      </c>
      <c r="J291" s="1329">
        <f>'[2]Summary'!I287/15.6466</f>
        <v>0</v>
      </c>
      <c r="K291" s="1128"/>
      <c r="L291" s="1084"/>
      <c r="M291" s="1438"/>
      <c r="N291" s="1439"/>
      <c r="O291" s="1439"/>
      <c r="P291" s="1282"/>
      <c r="Q291" s="1089">
        <f t="shared" si="58"/>
        <v>0</v>
      </c>
      <c r="R291" s="1090" t="e">
        <f t="shared" si="54"/>
        <v>#DIV/0!</v>
      </c>
      <c r="S291" s="1440"/>
      <c r="U291" s="1058"/>
      <c r="V291" s="1057"/>
      <c r="W291" s="1057"/>
      <c r="X291" s="1058"/>
    </row>
    <row r="292" spans="1:24" s="563" customFormat="1" ht="13.5" customHeight="1" hidden="1">
      <c r="A292" s="1399"/>
      <c r="B292" s="1400"/>
      <c r="C292" s="1093" t="s">
        <v>758</v>
      </c>
      <c r="D292" s="1401"/>
      <c r="E292" s="1079" t="s">
        <v>759</v>
      </c>
      <c r="F292" s="1080">
        <f>'[2]Summary'!E288/15.6466</f>
        <v>0</v>
      </c>
      <c r="G292" s="1080">
        <f>'[2]Summary'!F288/15.6466</f>
        <v>0</v>
      </c>
      <c r="H292" s="1081">
        <f>'[2]Summary'!G288/15.6466</f>
        <v>0</v>
      </c>
      <c r="I292" s="1081">
        <f>'[2]Summary'!H288/15.6466</f>
        <v>0</v>
      </c>
      <c r="J292" s="1329">
        <f>'[2]Summary'!I288/15.6466</f>
        <v>0</v>
      </c>
      <c r="K292" s="1128"/>
      <c r="L292" s="1084"/>
      <c r="M292" s="1129"/>
      <c r="N292" s="1209"/>
      <c r="O292" s="1209"/>
      <c r="P292" s="1210"/>
      <c r="Q292" s="1089">
        <f t="shared" si="58"/>
        <v>0</v>
      </c>
      <c r="R292" s="1090" t="e">
        <f t="shared" si="54"/>
        <v>#DIV/0!</v>
      </c>
      <c r="S292" s="1440"/>
      <c r="U292" s="1058"/>
      <c r="V292" s="1057"/>
      <c r="W292" s="1057"/>
      <c r="X292" s="1058"/>
    </row>
    <row r="293" spans="1:24" s="563" customFormat="1" ht="12" hidden="1">
      <c r="A293" s="1441"/>
      <c r="B293" s="1442"/>
      <c r="C293" s="1443"/>
      <c r="D293" s="1444"/>
      <c r="E293" s="1341"/>
      <c r="F293" s="1080">
        <f>'[2]Summary'!E289/15.6466</f>
        <v>0</v>
      </c>
      <c r="G293" s="1080">
        <f>'[2]Summary'!F289/15.6466</f>
        <v>0</v>
      </c>
      <c r="H293" s="1081">
        <f>'[2]Summary'!G289/15.6466</f>
        <v>0</v>
      </c>
      <c r="I293" s="1081">
        <f>'[2]Summary'!H289/15.6466</f>
        <v>0</v>
      </c>
      <c r="J293" s="1329">
        <f>'[2]Summary'!I289/15.6466</f>
        <v>0</v>
      </c>
      <c r="K293" s="1184"/>
      <c r="L293" s="1445"/>
      <c r="M293" s="1263"/>
      <c r="N293" s="1446"/>
      <c r="O293" s="1446"/>
      <c r="P293" s="1321"/>
      <c r="Q293" s="1089">
        <f t="shared" si="58"/>
        <v>0</v>
      </c>
      <c r="R293" s="1090" t="e">
        <f t="shared" si="54"/>
        <v>#DIV/0!</v>
      </c>
      <c r="S293" s="1440"/>
      <c r="U293" s="1058"/>
      <c r="V293" s="1057"/>
      <c r="W293" s="1057"/>
      <c r="X293" s="1058"/>
    </row>
    <row r="294" spans="1:24" s="1338" customFormat="1" ht="18" customHeight="1">
      <c r="A294" s="1447"/>
      <c r="B294" s="1448"/>
      <c r="C294" s="1449" t="s">
        <v>760</v>
      </c>
      <c r="D294" s="1450"/>
      <c r="E294" s="1063" t="s">
        <v>761</v>
      </c>
      <c r="F294" s="1080">
        <f>'[2]Summary'!E290/15.6466</f>
        <v>625115.4883489065</v>
      </c>
      <c r="G294" s="1080">
        <f>'[2]Summary'!F290/15.6466</f>
        <v>626355.3743305255</v>
      </c>
      <c r="H294" s="1081">
        <f>'[2]Summary'!G290/15.6466</f>
        <v>588424.3222169672</v>
      </c>
      <c r="I294" s="1081">
        <f>'[2]Summary'!H290/15.6466</f>
        <v>624028.9264121279</v>
      </c>
      <c r="J294" s="1329">
        <f>'[2]Summary'!I290/15.6466</f>
        <v>624028.9264121279</v>
      </c>
      <c r="K294" s="1451">
        <f aca="true" t="shared" si="60" ref="K294:P294">K295+K299+K303</f>
        <v>0</v>
      </c>
      <c r="L294" s="1204">
        <f t="shared" si="60"/>
        <v>624028.9264121279</v>
      </c>
      <c r="M294" s="1452">
        <f t="shared" si="60"/>
        <v>12171</v>
      </c>
      <c r="N294" s="1070">
        <f t="shared" si="60"/>
        <v>636199.9264121279</v>
      </c>
      <c r="O294" s="1070">
        <f t="shared" si="60"/>
        <v>0</v>
      </c>
      <c r="P294" s="1215">
        <f t="shared" si="60"/>
        <v>636199.9264121279</v>
      </c>
      <c r="Q294" s="1089">
        <f t="shared" si="58"/>
        <v>-1086.5619367785985</v>
      </c>
      <c r="R294" s="1090">
        <f t="shared" si="54"/>
        <v>101.95039035609736</v>
      </c>
      <c r="S294" s="1336"/>
      <c r="U294" s="1058"/>
      <c r="V294" s="1057"/>
      <c r="W294" s="1057"/>
      <c r="X294" s="1058"/>
    </row>
    <row r="295" spans="1:24" s="563" customFormat="1" ht="12" hidden="1">
      <c r="A295" s="1399"/>
      <c r="B295" s="1400"/>
      <c r="C295" s="1125" t="s">
        <v>762</v>
      </c>
      <c r="D295" s="1401"/>
      <c r="E295" s="1079" t="s">
        <v>763</v>
      </c>
      <c r="F295" s="1080">
        <f>'[2]Summary'!E291/15.6466</f>
        <v>0</v>
      </c>
      <c r="G295" s="1080">
        <f>'[2]Summary'!F291/15.6466</f>
        <v>0</v>
      </c>
      <c r="H295" s="1081">
        <f>'[2]Summary'!G291/15.6466</f>
        <v>0</v>
      </c>
      <c r="I295" s="1081">
        <f>'[2]Summary'!H291/15.6466</f>
        <v>0</v>
      </c>
      <c r="J295" s="1329">
        <f>'[2]Summary'!I291/15.6466</f>
        <v>0</v>
      </c>
      <c r="K295" s="1083"/>
      <c r="L295" s="1084"/>
      <c r="M295" s="1151"/>
      <c r="N295" s="1086"/>
      <c r="O295" s="1453"/>
      <c r="P295" s="1454"/>
      <c r="Q295" s="1089">
        <f t="shared" si="58"/>
        <v>0</v>
      </c>
      <c r="R295" s="1090" t="e">
        <f t="shared" si="54"/>
        <v>#DIV/0!</v>
      </c>
      <c r="S295" s="1440"/>
      <c r="U295" s="1058"/>
      <c r="V295" s="1057"/>
      <c r="W295" s="1057"/>
      <c r="X295" s="1058"/>
    </row>
    <row r="296" spans="1:24" s="1368" customFormat="1" ht="12" hidden="1">
      <c r="A296" s="1393"/>
      <c r="B296" s="1394"/>
      <c r="C296" s="1139" t="s">
        <v>764</v>
      </c>
      <c r="D296" s="1396"/>
      <c r="E296" s="1211" t="s">
        <v>765</v>
      </c>
      <c r="F296" s="1080">
        <f>'[2]Summary'!E292/15.6466</f>
        <v>0</v>
      </c>
      <c r="G296" s="1080">
        <f>'[2]Summary'!F292/15.6466</f>
        <v>0</v>
      </c>
      <c r="H296" s="1081">
        <f>'[2]Summary'!G292/15.6466</f>
        <v>0</v>
      </c>
      <c r="I296" s="1081">
        <f>'[2]Summary'!H292/15.6466</f>
        <v>0</v>
      </c>
      <c r="J296" s="1329">
        <f>'[2]Summary'!I292/15.6466</f>
        <v>0</v>
      </c>
      <c r="K296" s="1096"/>
      <c r="L296" s="1218"/>
      <c r="M296" s="1332"/>
      <c r="N296" s="1220"/>
      <c r="O296" s="1455"/>
      <c r="P296" s="1456"/>
      <c r="Q296" s="1089">
        <f t="shared" si="58"/>
        <v>0</v>
      </c>
      <c r="R296" s="1090" t="e">
        <f t="shared" si="54"/>
        <v>#DIV/0!</v>
      </c>
      <c r="S296" s="1412"/>
      <c r="U296" s="1058"/>
      <c r="V296" s="1057"/>
      <c r="W296" s="1057"/>
      <c r="X296" s="1058"/>
    </row>
    <row r="297" spans="1:24" s="1368" customFormat="1" ht="12" hidden="1">
      <c r="A297" s="1393"/>
      <c r="B297" s="1394"/>
      <c r="C297" s="1432" t="s">
        <v>766</v>
      </c>
      <c r="D297" s="1396"/>
      <c r="E297" s="1211" t="s">
        <v>767</v>
      </c>
      <c r="F297" s="1080">
        <f>'[2]Summary'!E293/15.6466</f>
        <v>0</v>
      </c>
      <c r="G297" s="1080">
        <f>'[2]Summary'!F293/15.6466</f>
        <v>0</v>
      </c>
      <c r="H297" s="1081">
        <f>'[2]Summary'!G293/15.6466</f>
        <v>0</v>
      </c>
      <c r="I297" s="1081">
        <f>'[2]Summary'!H293/15.6466</f>
        <v>0</v>
      </c>
      <c r="J297" s="1329">
        <f>'[2]Summary'!I293/15.6466</f>
        <v>0</v>
      </c>
      <c r="K297" s="1096"/>
      <c r="L297" s="1218"/>
      <c r="M297" s="1332"/>
      <c r="N297" s="1220"/>
      <c r="O297" s="1455"/>
      <c r="P297" s="1456"/>
      <c r="Q297" s="1089">
        <f t="shared" si="58"/>
        <v>0</v>
      </c>
      <c r="R297" s="1090" t="e">
        <f t="shared" si="54"/>
        <v>#DIV/0!</v>
      </c>
      <c r="S297" s="1412"/>
      <c r="U297" s="1058"/>
      <c r="V297" s="1057"/>
      <c r="W297" s="1057"/>
      <c r="X297" s="1058"/>
    </row>
    <row r="298" spans="1:24" s="1368" customFormat="1" ht="12" hidden="1">
      <c r="A298" s="1393"/>
      <c r="B298" s="1394"/>
      <c r="C298" s="1139" t="s">
        <v>768</v>
      </c>
      <c r="D298" s="1396"/>
      <c r="E298" s="1211" t="s">
        <v>769</v>
      </c>
      <c r="F298" s="1080">
        <f>'[2]Summary'!E294/15.6466</f>
        <v>0</v>
      </c>
      <c r="G298" s="1080">
        <f>'[2]Summary'!F294/15.6466</f>
        <v>0</v>
      </c>
      <c r="H298" s="1081">
        <f>'[2]Summary'!G294/15.6466</f>
        <v>0</v>
      </c>
      <c r="I298" s="1081">
        <f>'[2]Summary'!H294/15.6466</f>
        <v>0</v>
      </c>
      <c r="J298" s="1329">
        <f>'[2]Summary'!I294/15.6466</f>
        <v>0</v>
      </c>
      <c r="K298" s="1096"/>
      <c r="L298" s="1218"/>
      <c r="M298" s="1332"/>
      <c r="N298" s="1220"/>
      <c r="O298" s="1455"/>
      <c r="P298" s="1456"/>
      <c r="Q298" s="1089">
        <f t="shared" si="58"/>
        <v>0</v>
      </c>
      <c r="R298" s="1090" t="e">
        <f t="shared" si="54"/>
        <v>#DIV/0!</v>
      </c>
      <c r="S298" s="1412"/>
      <c r="U298" s="1058"/>
      <c r="V298" s="1057"/>
      <c r="W298" s="1057"/>
      <c r="X298" s="1058"/>
    </row>
    <row r="299" spans="1:24" s="563" customFormat="1" ht="13.5" customHeight="1">
      <c r="A299" s="1399"/>
      <c r="B299" s="1400"/>
      <c r="C299" s="1125" t="s">
        <v>770</v>
      </c>
      <c r="D299" s="1457"/>
      <c r="E299" s="1079"/>
      <c r="F299" s="1080">
        <f>'[2]Summary'!E295/15.6466</f>
        <v>625115.4883489065</v>
      </c>
      <c r="G299" s="1080">
        <f>'[2]Summary'!F295/15.6466</f>
        <v>626355.3743305255</v>
      </c>
      <c r="H299" s="1081">
        <f>'[2]Summary'!G295/15.6466</f>
        <v>588424.3222169672</v>
      </c>
      <c r="I299" s="1081">
        <f>'[2]Summary'!H295/15.6466</f>
        <v>624028.9264121279</v>
      </c>
      <c r="J299" s="1329">
        <f>'[2]Summary'!I295/15.6466</f>
        <v>624028.9264121279</v>
      </c>
      <c r="K299" s="1335">
        <f aca="true" t="shared" si="61" ref="K299:P299">SUM(K300:K302)</f>
        <v>0</v>
      </c>
      <c r="L299" s="1084">
        <f t="shared" si="61"/>
        <v>624028.9264121279</v>
      </c>
      <c r="M299" s="1129">
        <f t="shared" si="61"/>
        <v>12171</v>
      </c>
      <c r="N299" s="1209">
        <f t="shared" si="61"/>
        <v>636199.9264121279</v>
      </c>
      <c r="O299" s="1209">
        <f t="shared" si="61"/>
        <v>0</v>
      </c>
      <c r="P299" s="1210">
        <f t="shared" si="61"/>
        <v>636199.9264121279</v>
      </c>
      <c r="Q299" s="1089">
        <f t="shared" si="58"/>
        <v>-1086.5619367785985</v>
      </c>
      <c r="R299" s="1090">
        <f t="shared" si="54"/>
        <v>101.95039035609736</v>
      </c>
      <c r="S299" s="1440"/>
      <c r="U299" s="1058"/>
      <c r="V299" s="1057"/>
      <c r="W299" s="1057"/>
      <c r="X299" s="1058"/>
    </row>
    <row r="300" spans="1:24" s="1368" customFormat="1" ht="12" hidden="1">
      <c r="A300" s="1393"/>
      <c r="B300" s="1394"/>
      <c r="C300" s="1139" t="s">
        <v>771</v>
      </c>
      <c r="D300" s="1396"/>
      <c r="E300" s="1211" t="s">
        <v>772</v>
      </c>
      <c r="F300" s="1258">
        <f>'[2]Summary'!E296/15.6466</f>
        <v>0</v>
      </c>
      <c r="G300" s="1258">
        <f>'[2]Summary'!F296/15.6466</f>
        <v>0</v>
      </c>
      <c r="H300" s="1259">
        <f>'[2]Summary'!G296/15.6466</f>
        <v>0</v>
      </c>
      <c r="I300" s="1259">
        <f>'[2]Summary'!H296/15.6466</f>
        <v>0</v>
      </c>
      <c r="J300" s="1458">
        <f>'[2]Summary'!I296/15.6466</f>
        <v>0</v>
      </c>
      <c r="K300" s="1096"/>
      <c r="L300" s="1218"/>
      <c r="M300" s="1332"/>
      <c r="N300" s="1220"/>
      <c r="O300" s="1455"/>
      <c r="P300" s="1456"/>
      <c r="Q300" s="1089">
        <f t="shared" si="58"/>
        <v>0</v>
      </c>
      <c r="R300" s="1090" t="e">
        <f t="shared" si="54"/>
        <v>#DIV/0!</v>
      </c>
      <c r="S300" s="1412"/>
      <c r="U300" s="1058"/>
      <c r="V300" s="1057"/>
      <c r="W300" s="1057"/>
      <c r="X300" s="1058"/>
    </row>
    <row r="301" spans="1:24" s="1368" customFormat="1" ht="12.75" thickBot="1">
      <c r="A301" s="1393"/>
      <c r="B301" s="1394"/>
      <c r="C301" s="1432" t="s">
        <v>773</v>
      </c>
      <c r="D301" s="1396"/>
      <c r="E301" s="1211" t="s">
        <v>774</v>
      </c>
      <c r="F301" s="1182">
        <f>'[2]Summary'!E297/15.6466</f>
        <v>625115.4883489065</v>
      </c>
      <c r="G301" s="1182">
        <f>'[2]Summary'!F297/15.6466</f>
        <v>626355.3743305255</v>
      </c>
      <c r="H301" s="1182">
        <f>'[2]Summary'!G297/15.6466</f>
        <v>588424.3222169672</v>
      </c>
      <c r="I301" s="1182">
        <f>'[2]Summary'!H297/15.6466</f>
        <v>624028.9264121279</v>
      </c>
      <c r="J301" s="1329">
        <f>'[2]Summary'!I297/15.6466</f>
        <v>624028.9264121279</v>
      </c>
      <c r="K301" s="1096"/>
      <c r="L301" s="1218">
        <f>J301+K301</f>
        <v>624028.9264121279</v>
      </c>
      <c r="M301" s="1459">
        <v>12171</v>
      </c>
      <c r="N301" s="1220">
        <f>L301+M301</f>
        <v>636199.9264121279</v>
      </c>
      <c r="O301" s="1221"/>
      <c r="P301" s="1222">
        <f>N301+O301</f>
        <v>636199.9264121279</v>
      </c>
      <c r="Q301" s="1187">
        <f t="shared" si="58"/>
        <v>-1086.5619367785985</v>
      </c>
      <c r="R301" s="1188">
        <f t="shared" si="54"/>
        <v>101.95039035609736</v>
      </c>
      <c r="S301" s="1412"/>
      <c r="U301" s="1058"/>
      <c r="V301" s="1057"/>
      <c r="W301" s="1057"/>
      <c r="X301" s="1058"/>
    </row>
    <row r="302" spans="1:24" s="1368" customFormat="1" ht="12.75" hidden="1" thickBot="1">
      <c r="A302" s="1393"/>
      <c r="B302" s="1394"/>
      <c r="C302" s="1139" t="s">
        <v>775</v>
      </c>
      <c r="D302" s="1396"/>
      <c r="E302" s="1211" t="s">
        <v>776</v>
      </c>
      <c r="F302" s="1064">
        <f>'[2]Summary'!E298/15.6466</f>
        <v>0</v>
      </c>
      <c r="G302" s="1064">
        <f>'[2]Summary'!F298/15.6466</f>
        <v>0</v>
      </c>
      <c r="H302" s="1065">
        <f>'[2]Summary'!G298/15.6466</f>
        <v>0</v>
      </c>
      <c r="I302" s="1065">
        <f>'[2]Summary'!H298/15.6466</f>
        <v>0</v>
      </c>
      <c r="J302" s="1356">
        <f>'[2]Summary'!I298/15.6466</f>
        <v>0</v>
      </c>
      <c r="K302" s="1096"/>
      <c r="L302" s="1218"/>
      <c r="M302" s="1332"/>
      <c r="N302" s="1220"/>
      <c r="O302" s="1455"/>
      <c r="P302" s="1456"/>
      <c r="Q302" s="1072">
        <f t="shared" si="58"/>
        <v>0</v>
      </c>
      <c r="R302" s="1073" t="e">
        <f t="shared" si="54"/>
        <v>#DIV/0!</v>
      </c>
      <c r="S302" s="1412"/>
      <c r="U302" s="1058"/>
      <c r="V302" s="1057"/>
      <c r="W302" s="1057"/>
      <c r="X302" s="1058"/>
    </row>
    <row r="303" spans="1:24" s="563" customFormat="1" ht="12.75" hidden="1" thickBot="1">
      <c r="A303" s="1399"/>
      <c r="B303" s="1400"/>
      <c r="C303" s="1125" t="s">
        <v>777</v>
      </c>
      <c r="D303" s="1401"/>
      <c r="E303" s="1079" t="s">
        <v>778</v>
      </c>
      <c r="F303" s="1080">
        <f>'[2]Summary'!E299/15.6466</f>
        <v>0</v>
      </c>
      <c r="G303" s="1080">
        <f>'[2]Summary'!F299/15.6466</f>
        <v>0</v>
      </c>
      <c r="H303" s="1081">
        <f>'[2]Summary'!G299/15.6466</f>
        <v>0</v>
      </c>
      <c r="I303" s="1081">
        <f>'[2]Summary'!H299/15.6466</f>
        <v>0</v>
      </c>
      <c r="J303" s="1329">
        <f>'[2]Summary'!I299/15.6466</f>
        <v>0</v>
      </c>
      <c r="K303" s="1128">
        <f aca="true" t="shared" si="62" ref="K303:P303">SUM(K304:K305)</f>
        <v>0</v>
      </c>
      <c r="L303" s="1084">
        <f t="shared" si="62"/>
        <v>0</v>
      </c>
      <c r="M303" s="1151">
        <f t="shared" si="62"/>
        <v>0</v>
      </c>
      <c r="N303" s="1086">
        <f t="shared" si="62"/>
        <v>0</v>
      </c>
      <c r="O303" s="1086">
        <f t="shared" si="62"/>
        <v>0</v>
      </c>
      <c r="P303" s="1232">
        <f t="shared" si="62"/>
        <v>0</v>
      </c>
      <c r="Q303" s="1089">
        <f t="shared" si="58"/>
        <v>0</v>
      </c>
      <c r="R303" s="1090" t="e">
        <f t="shared" si="54"/>
        <v>#DIV/0!</v>
      </c>
      <c r="S303" s="1440"/>
      <c r="U303" s="1058"/>
      <c r="V303" s="1057"/>
      <c r="W303" s="1057"/>
      <c r="X303" s="1058"/>
    </row>
    <row r="304" spans="1:24" s="1398" customFormat="1" ht="12.75" hidden="1" thickBot="1">
      <c r="A304" s="1460"/>
      <c r="B304" s="1394"/>
      <c r="C304" s="1432" t="s">
        <v>779</v>
      </c>
      <c r="D304" s="1396"/>
      <c r="E304" s="1211" t="s">
        <v>780</v>
      </c>
      <c r="F304" s="1080">
        <f>'[2]Summary'!E300/15.6466</f>
        <v>0</v>
      </c>
      <c r="G304" s="1080">
        <f>'[2]Summary'!F300/15.6466</f>
        <v>0</v>
      </c>
      <c r="H304" s="1081">
        <f>'[2]Summary'!G300/15.6466</f>
        <v>0</v>
      </c>
      <c r="I304" s="1081">
        <f>'[2]Summary'!H300/15.6466</f>
        <v>0</v>
      </c>
      <c r="J304" s="1329">
        <f>'[2]Summary'!I300/15.6466</f>
        <v>0</v>
      </c>
      <c r="K304" s="1096"/>
      <c r="L304" s="1112"/>
      <c r="M304" s="1115"/>
      <c r="N304" s="1144"/>
      <c r="O304" s="1461"/>
      <c r="P304" s="1462"/>
      <c r="Q304" s="1089">
        <f t="shared" si="58"/>
        <v>0</v>
      </c>
      <c r="R304" s="1090" t="e">
        <f t="shared" si="54"/>
        <v>#DIV/0!</v>
      </c>
      <c r="S304" s="1397"/>
      <c r="U304" s="1058"/>
      <c r="V304" s="1057"/>
      <c r="W304" s="1057"/>
      <c r="X304" s="1058"/>
    </row>
    <row r="305" spans="1:24" s="1368" customFormat="1" ht="10.5" customHeight="1" hidden="1" thickBot="1">
      <c r="A305" s="1463"/>
      <c r="B305" s="1464"/>
      <c r="C305" s="1465" t="s">
        <v>781</v>
      </c>
      <c r="D305" s="1466"/>
      <c r="E305" s="1257" t="s">
        <v>782</v>
      </c>
      <c r="F305" s="1181">
        <f>'[2]Summary'!E301/15.6466</f>
        <v>0</v>
      </c>
      <c r="G305" s="1181">
        <f>'[2]Summary'!F301/15.6466</f>
        <v>0</v>
      </c>
      <c r="H305" s="1182">
        <f>'[2]Summary'!G301/15.6466</f>
        <v>0</v>
      </c>
      <c r="I305" s="1182">
        <f>'[2]Summary'!H301/15.6466</f>
        <v>0</v>
      </c>
      <c r="J305" s="1347">
        <f>'[2]Summary'!I301/15.6466</f>
        <v>0</v>
      </c>
      <c r="K305" s="1184"/>
      <c r="L305" s="1218">
        <f>J305+K305</f>
        <v>0</v>
      </c>
      <c r="M305" s="1332"/>
      <c r="N305" s="1220">
        <f>L305+M305</f>
        <v>0</v>
      </c>
      <c r="O305" s="1221"/>
      <c r="P305" s="1222">
        <f>N305+O305</f>
        <v>0</v>
      </c>
      <c r="Q305" s="1089">
        <f t="shared" si="58"/>
        <v>0</v>
      </c>
      <c r="R305" s="1090" t="e">
        <f>N305/I305%</f>
        <v>#DIV/0!</v>
      </c>
      <c r="S305" s="1412"/>
      <c r="U305" s="1058"/>
      <c r="V305" s="1057"/>
      <c r="W305" s="1057"/>
      <c r="X305" s="1058"/>
    </row>
    <row r="306" spans="1:24" s="1336" customFormat="1" ht="12" thickBot="1">
      <c r="A306" s="1467"/>
      <c r="B306" s="1468"/>
      <c r="C306" s="1469"/>
      <c r="D306" s="1470"/>
      <c r="E306" s="1471" t="s">
        <v>783</v>
      </c>
      <c r="F306" s="1472">
        <f>'[2]Summary'!E302/15.6466</f>
        <v>10454002.79095778</v>
      </c>
      <c r="G306" s="1472">
        <f>'[2]Summary'!F302/15.6466</f>
        <v>13941909.104853451</v>
      </c>
      <c r="H306" s="1473">
        <f>'[2]Summary'!G302/15.6466</f>
        <v>9664782.158040725</v>
      </c>
      <c r="I306" s="1473">
        <f>'[2]Summary'!H302/15.6466</f>
        <v>12558179.564442117</v>
      </c>
      <c r="J306" s="1474">
        <f>J250+J9-1</f>
        <v>9220958.0415937</v>
      </c>
      <c r="K306" s="1373">
        <f aca="true" t="shared" si="63" ref="K306:P306">K250+K9</f>
        <v>3074730.8575999998</v>
      </c>
      <c r="L306" s="1374">
        <f>L250+L9+1</f>
        <v>12295689.130694475</v>
      </c>
      <c r="M306" s="1373">
        <f t="shared" si="63"/>
        <v>2241269.08</v>
      </c>
      <c r="N306" s="1474">
        <f>N250+N9+1</f>
        <v>14536958.1713249</v>
      </c>
      <c r="O306" s="1475" t="e">
        <f t="shared" si="63"/>
        <v>#REF!</v>
      </c>
      <c r="P306" s="1475" t="e">
        <f t="shared" si="63"/>
        <v>#REF!</v>
      </c>
      <c r="Q306" s="1187">
        <f t="shared" si="58"/>
        <v>2104176.773484336</v>
      </c>
      <c r="R306" s="1255">
        <f>N306/I306%</f>
        <v>115.75689053280938</v>
      </c>
      <c r="U306" s="1058"/>
      <c r="V306" s="1057"/>
      <c r="W306" s="1057"/>
      <c r="X306" s="1058"/>
    </row>
    <row r="307" spans="1:24" s="1338" customFormat="1" ht="12">
      <c r="A307" s="1476"/>
      <c r="B307" s="1477"/>
      <c r="C307" s="1478"/>
      <c r="D307" s="1479"/>
      <c r="E307" s="1480" t="s">
        <v>328</v>
      </c>
      <c r="F307" s="1064">
        <f>'[2]Summary'!E303/15.6466</f>
        <v>9717740.599810822</v>
      </c>
      <c r="G307" s="1064">
        <f>'[2]Summary'!F303/15.6466</f>
        <v>10573392.238569401</v>
      </c>
      <c r="H307" s="1065">
        <f>'[2]Summary'!G303/15.6466</f>
        <v>8911907.156442933</v>
      </c>
      <c r="I307" s="1065">
        <f>'[2]Summary'!H303/15.6466</f>
        <v>9205653.849015122</v>
      </c>
      <c r="J307" s="1356">
        <v>8460477</v>
      </c>
      <c r="K307" s="1481">
        <v>14373</v>
      </c>
      <c r="L307" s="1482">
        <f>J307+K307</f>
        <v>8474850</v>
      </c>
      <c r="M307" s="1483">
        <v>1815485</v>
      </c>
      <c r="N307" s="1484">
        <f>M307+J307+K307</f>
        <v>10290335</v>
      </c>
      <c r="O307" s="1485"/>
      <c r="P307" s="1485"/>
      <c r="Q307" s="1486">
        <f t="shared" si="58"/>
        <v>-512086.75079569966</v>
      </c>
      <c r="R307" s="1487"/>
      <c r="S307" s="1336"/>
      <c r="T307" s="1488"/>
      <c r="U307" s="1058"/>
      <c r="V307" s="1057"/>
      <c r="W307" s="1057"/>
      <c r="X307" s="1058"/>
    </row>
    <row r="308" spans="1:24" s="1338" customFormat="1" ht="12">
      <c r="A308" s="1476"/>
      <c r="B308" s="1477"/>
      <c r="C308" s="1478"/>
      <c r="D308" s="1479"/>
      <c r="E308" s="1480" t="s">
        <v>30</v>
      </c>
      <c r="F308" s="1080">
        <f>'[2]Summary'!E304/15.6466</f>
        <v>0</v>
      </c>
      <c r="G308" s="1080">
        <f>'[2]Summary'!F304/15.6466</f>
        <v>2649979.3565375227</v>
      </c>
      <c r="H308" s="1081">
        <f>'[2]Summary'!G304/15.6466</f>
        <v>0</v>
      </c>
      <c r="I308" s="1081">
        <f>'[2]Summary'!H304/15.6466</f>
        <v>2600264.402489998</v>
      </c>
      <c r="J308" s="1329">
        <f>'[2]Summary'!I304/15.6466</f>
        <v>0</v>
      </c>
      <c r="K308" s="1482">
        <v>2889719</v>
      </c>
      <c r="L308" s="1482">
        <f>J308+K308</f>
        <v>2889719</v>
      </c>
      <c r="M308" s="1483">
        <v>334584</v>
      </c>
      <c r="N308" s="1484">
        <f aca="true" t="shared" si="64" ref="N308:N313">M308+J308+K308</f>
        <v>3224303</v>
      </c>
      <c r="O308" s="1485"/>
      <c r="P308" s="1485"/>
      <c r="Q308" s="1486"/>
      <c r="R308" s="1489"/>
      <c r="S308" s="1336"/>
      <c r="T308" s="1488"/>
      <c r="U308" s="1058"/>
      <c r="V308" s="1057"/>
      <c r="W308" s="1057"/>
      <c r="X308" s="1058"/>
    </row>
    <row r="309" spans="1:24" s="1338" customFormat="1" ht="12" hidden="1">
      <c r="A309" s="1476"/>
      <c r="B309" s="1477"/>
      <c r="C309" s="1478"/>
      <c r="D309" s="1479"/>
      <c r="E309" s="1480" t="s">
        <v>784</v>
      </c>
      <c r="F309" s="1080">
        <f>'[2]Summary'!E305/15.6466</f>
        <v>0</v>
      </c>
      <c r="G309" s="1080">
        <f>'[2]Summary'!F305/15.6466</f>
        <v>0</v>
      </c>
      <c r="H309" s="1081">
        <f>'[2]Summary'!G305/15.6466</f>
        <v>0</v>
      </c>
      <c r="I309" s="1081">
        <f>'[2]Summary'!H305/15.6466</f>
        <v>0</v>
      </c>
      <c r="J309" s="1329">
        <f>'[2]Summary'!I305/15.6466</f>
        <v>0</v>
      </c>
      <c r="K309" s="1482"/>
      <c r="L309" s="1490"/>
      <c r="M309" s="1483"/>
      <c r="N309" s="1484">
        <f t="shared" si="64"/>
        <v>0</v>
      </c>
      <c r="O309" s="1485"/>
      <c r="P309" s="1485"/>
      <c r="Q309" s="1486"/>
      <c r="R309" s="1489"/>
      <c r="S309" s="1336"/>
      <c r="T309" s="1488"/>
      <c r="U309" s="1058"/>
      <c r="V309" s="1057"/>
      <c r="W309" s="1057"/>
      <c r="X309" s="1058"/>
    </row>
    <row r="310" spans="1:24" s="1338" customFormat="1" ht="12">
      <c r="A310" s="1476"/>
      <c r="B310" s="1477"/>
      <c r="C310" s="1478"/>
      <c r="D310" s="1479"/>
      <c r="E310" s="1480" t="s">
        <v>785</v>
      </c>
      <c r="F310" s="1080">
        <f>'[2]Summary'!E306/15.6466</f>
        <v>736262.1911469585</v>
      </c>
      <c r="G310" s="1080">
        <f>'[2]Summary'!F306/15.6466</f>
        <v>678060.856671737</v>
      </c>
      <c r="H310" s="1081">
        <f>'[2]Summary'!G306/15.6466</f>
        <v>752875.0015977912</v>
      </c>
      <c r="I310" s="1081">
        <f>'[2]Summary'!H306/15.6466</f>
        <v>710473.9048739023</v>
      </c>
      <c r="J310" s="1329">
        <v>760480</v>
      </c>
      <c r="K310" s="1482">
        <v>24610</v>
      </c>
      <c r="L310" s="1482">
        <f>J310+K310</f>
        <v>785090</v>
      </c>
      <c r="M310" s="1483">
        <v>91200</v>
      </c>
      <c r="N310" s="1484">
        <f t="shared" si="64"/>
        <v>876290</v>
      </c>
      <c r="O310" s="1485"/>
      <c r="P310" s="1485"/>
      <c r="Q310" s="1486">
        <f t="shared" si="58"/>
        <v>-25788.286273056176</v>
      </c>
      <c r="R310" s="1489"/>
      <c r="S310" s="1336"/>
      <c r="T310" s="1488"/>
      <c r="U310" s="1058"/>
      <c r="V310" s="1057"/>
      <c r="W310" s="1057"/>
      <c r="X310" s="1058"/>
    </row>
    <row r="311" spans="1:24" s="1338" customFormat="1" ht="12" hidden="1">
      <c r="A311" s="1476"/>
      <c r="B311" s="1477"/>
      <c r="C311" s="1478"/>
      <c r="D311" s="1479"/>
      <c r="E311" s="1480" t="s">
        <v>786</v>
      </c>
      <c r="F311" s="1080">
        <f>'[2]Summary'!E307/15.6466</f>
        <v>0</v>
      </c>
      <c r="G311" s="1080">
        <f>'[2]Summary'!F307/15.6466</f>
        <v>0</v>
      </c>
      <c r="H311" s="1081">
        <f>'[2]Summary'!G307/15.6466</f>
        <v>0</v>
      </c>
      <c r="I311" s="1081">
        <f>'[2]Summary'!H307/15.6466</f>
        <v>0</v>
      </c>
      <c r="J311" s="1329">
        <f>'[2]Summary'!I307/15.6466</f>
        <v>0</v>
      </c>
      <c r="K311" s="1482"/>
      <c r="L311" s="1482">
        <f>J311+K311</f>
        <v>0</v>
      </c>
      <c r="M311" s="1483"/>
      <c r="N311" s="1484">
        <f t="shared" si="64"/>
        <v>0</v>
      </c>
      <c r="O311" s="1485"/>
      <c r="P311" s="1485"/>
      <c r="Q311" s="1486"/>
      <c r="R311" s="1489"/>
      <c r="S311" s="1336"/>
      <c r="T311" s="1488"/>
      <c r="U311" s="1058"/>
      <c r="V311" s="1057"/>
      <c r="W311" s="1057"/>
      <c r="X311" s="1058"/>
    </row>
    <row r="312" spans="1:24" s="1338" customFormat="1" ht="12" hidden="1">
      <c r="A312" s="1476"/>
      <c r="B312" s="1477"/>
      <c r="C312" s="1478"/>
      <c r="D312" s="1479"/>
      <c r="E312" s="1480" t="s">
        <v>331</v>
      </c>
      <c r="F312" s="1080">
        <f>'[2]Summary'!E308/15.6466</f>
        <v>0</v>
      </c>
      <c r="G312" s="1080">
        <f>'[2]Summary'!F308/15.6466</f>
        <v>0</v>
      </c>
      <c r="H312" s="1081">
        <f>'[2]Summary'!G308/15.6466</f>
        <v>0</v>
      </c>
      <c r="I312" s="1081">
        <f>'[2]Summary'!H308/15.6466</f>
        <v>0</v>
      </c>
      <c r="J312" s="1329">
        <f>'[2]Summary'!I308/15.6466</f>
        <v>0</v>
      </c>
      <c r="K312" s="1482"/>
      <c r="L312" s="1482">
        <f>J312+K312</f>
        <v>0</v>
      </c>
      <c r="M312" s="1483"/>
      <c r="N312" s="1484">
        <f t="shared" si="64"/>
        <v>0</v>
      </c>
      <c r="O312" s="1485"/>
      <c r="P312" s="1485"/>
      <c r="Q312" s="1486">
        <f t="shared" si="58"/>
        <v>0</v>
      </c>
      <c r="R312" s="1489" t="e">
        <f>N312/J312%</f>
        <v>#DIV/0!</v>
      </c>
      <c r="S312" s="1336"/>
      <c r="U312" s="1058"/>
      <c r="V312" s="1057"/>
      <c r="W312" s="1057"/>
      <c r="X312" s="1058"/>
    </row>
    <row r="313" spans="1:24" s="1338" customFormat="1" ht="12">
      <c r="A313" s="1476"/>
      <c r="B313" s="1477"/>
      <c r="C313" s="1478"/>
      <c r="D313" s="1479"/>
      <c r="E313" s="1480" t="s">
        <v>332</v>
      </c>
      <c r="F313" s="1080">
        <f>'[2]Summary'!E309/15.6466</f>
        <v>0</v>
      </c>
      <c r="G313" s="1080">
        <f>'[2]Summary'!F309/15.6466</f>
        <v>42394.002530901285</v>
      </c>
      <c r="H313" s="1081">
        <f>'[2]Summary'!G309/15.6466</f>
        <v>0</v>
      </c>
      <c r="I313" s="1081">
        <f>'[2]Summary'!H309/15.6466</f>
        <v>41787.353162987485</v>
      </c>
      <c r="J313" s="1329">
        <f>'[2]Summary'!I309/15.6466</f>
        <v>0</v>
      </c>
      <c r="K313" s="1482">
        <v>146029</v>
      </c>
      <c r="L313" s="1482">
        <f>J313+K313</f>
        <v>146029</v>
      </c>
      <c r="M313" s="1483"/>
      <c r="N313" s="1484">
        <f t="shared" si="64"/>
        <v>146029</v>
      </c>
      <c r="O313" s="1485"/>
      <c r="P313" s="1485"/>
      <c r="Q313" s="1486"/>
      <c r="R313" s="1489"/>
      <c r="S313" s="1336"/>
      <c r="T313" s="1488"/>
      <c r="U313" s="1058"/>
      <c r="V313" s="1057"/>
      <c r="W313" s="1057"/>
      <c r="X313" s="1058"/>
    </row>
    <row r="314" spans="1:24" s="1338" customFormat="1" ht="12" thickBot="1">
      <c r="A314" s="1491"/>
      <c r="B314" s="1492"/>
      <c r="C314" s="1493"/>
      <c r="D314" s="1494"/>
      <c r="E314" s="1495" t="s">
        <v>333</v>
      </c>
      <c r="F314" s="1181">
        <f>'[2]Summary'!E310/15.6466</f>
        <v>10454002.79095778</v>
      </c>
      <c r="G314" s="1181">
        <f>'[2]Summary'!F310/15.6466</f>
        <v>13943826.454309562</v>
      </c>
      <c r="H314" s="1182">
        <f>'[2]Summary'!G310/15.6466</f>
        <v>9664782.158040725</v>
      </c>
      <c r="I314" s="1182">
        <f>'[2]Summary'!H310/15.6466</f>
        <v>12558179.509542009</v>
      </c>
      <c r="J314" s="1496">
        <f>SUM(J307:J313)</f>
        <v>9220957</v>
      </c>
      <c r="K314" s="1496">
        <f>SUM(K307:K313)</f>
        <v>3074731</v>
      </c>
      <c r="L314" s="1496">
        <f>SUM(L307:L313)+1</f>
        <v>12295689</v>
      </c>
      <c r="M314" s="1497">
        <f>SUM(M307:M313)</f>
        <v>2241269</v>
      </c>
      <c r="N314" s="1497">
        <f>SUM(N307:N313)+1</f>
        <v>14536958</v>
      </c>
      <c r="O314" s="1498"/>
      <c r="P314" s="1498"/>
      <c r="Q314" s="1499">
        <f t="shared" si="58"/>
        <v>2104176.7185842283</v>
      </c>
      <c r="R314" s="1500"/>
      <c r="S314" s="1336"/>
      <c r="U314" s="1058"/>
      <c r="V314" s="1057"/>
      <c r="W314" s="1057"/>
      <c r="X314" s="1058"/>
    </row>
    <row r="315" spans="1:24" s="1338" customFormat="1" ht="11.25" hidden="1">
      <c r="A315" s="1501"/>
      <c r="B315" s="1502"/>
      <c r="C315" s="1503"/>
      <c r="D315" s="1504"/>
      <c r="E315" s="1505"/>
      <c r="F315" s="1506"/>
      <c r="G315" s="1507"/>
      <c r="H315" s="1508">
        <f>'[2]Summary'!G311/15.6466</f>
        <v>0</v>
      </c>
      <c r="I315" s="1508">
        <f>'[2]Summary'!H311/15.6466</f>
        <v>0</v>
      </c>
      <c r="J315" s="1508">
        <f>'[2]Summary'!I311/15.6466</f>
        <v>0</v>
      </c>
      <c r="K315" s="1509"/>
      <c r="L315" s="1485"/>
      <c r="M315" s="1509"/>
      <c r="N315" s="1509"/>
      <c r="O315" s="1485"/>
      <c r="P315" s="1485"/>
      <c r="Q315" s="1485"/>
      <c r="R315" s="1485"/>
      <c r="S315" s="1336"/>
      <c r="U315" s="1058"/>
      <c r="V315" s="1057"/>
      <c r="W315" s="1057"/>
      <c r="X315" s="1058"/>
    </row>
    <row r="316" spans="1:24" s="1338" customFormat="1" ht="12" hidden="1">
      <c r="A316" s="1501"/>
      <c r="B316" s="1502"/>
      <c r="C316" s="1503"/>
      <c r="D316" s="1504"/>
      <c r="E316" s="1505" t="s">
        <v>787</v>
      </c>
      <c r="F316" s="1506">
        <v>164720500</v>
      </c>
      <c r="G316" s="1507">
        <v>232489627</v>
      </c>
      <c r="H316" s="1510">
        <f>'[2]Summary'!G312/15.6466</f>
        <v>10527558.702849181</v>
      </c>
      <c r="I316" s="1510">
        <f>'[2]Summary'!H312/15.6466</f>
        <v>10527558.702849181</v>
      </c>
      <c r="J316" s="1510">
        <f>'[2]Summary'!I312/15.6466</f>
        <v>3314244.6282259407</v>
      </c>
      <c r="K316" s="1509">
        <v>51856660</v>
      </c>
      <c r="L316" s="1485">
        <v>216577160</v>
      </c>
      <c r="M316" s="1511">
        <v>15224908</v>
      </c>
      <c r="N316" s="1512">
        <v>231802068</v>
      </c>
      <c r="O316" s="1513"/>
      <c r="P316" s="1513"/>
      <c r="Q316" s="1513"/>
      <c r="R316" s="1513"/>
      <c r="S316" s="1336"/>
      <c r="U316" s="1058"/>
      <c r="V316" s="1057"/>
      <c r="W316" s="1057"/>
      <c r="X316" s="1058"/>
    </row>
    <row r="317" spans="1:24" s="1338" customFormat="1" ht="12.75" hidden="1">
      <c r="A317" s="1501"/>
      <c r="B317" s="1502"/>
      <c r="C317" s="1503"/>
      <c r="D317" s="1504"/>
      <c r="E317" s="1505" t="s">
        <v>34</v>
      </c>
      <c r="F317" s="1514">
        <f>F316-F306</f>
        <v>154266497.20904222</v>
      </c>
      <c r="G317" s="1515">
        <f>G316-G306</f>
        <v>218547717.89514655</v>
      </c>
      <c r="H317" s="1510">
        <f>'[2]Summary'!G313/15.6466</f>
        <v>862776.5448084569</v>
      </c>
      <c r="I317" s="1510">
        <f>'[2]Summary'!H313/15.6466</f>
        <v>-2030620.8615929356</v>
      </c>
      <c r="J317" s="1510">
        <f>'[2]Summary'!I313/15.6466</f>
        <v>-5906712.887553846</v>
      </c>
      <c r="K317" s="1516">
        <f>K316-K306</f>
        <v>48781929.1424</v>
      </c>
      <c r="L317" s="1516">
        <f>L316-L306</f>
        <v>204281470.86930552</v>
      </c>
      <c r="M317" s="1517">
        <f>M316-M306</f>
        <v>12983638.92</v>
      </c>
      <c r="N317" s="1518">
        <f>N316-N306</f>
        <v>217265109.8286751</v>
      </c>
      <c r="O317" s="1513"/>
      <c r="P317" s="1513"/>
      <c r="Q317" s="1513"/>
      <c r="R317" s="1513"/>
      <c r="S317" s="1336"/>
      <c r="U317" s="1058"/>
      <c r="V317" s="1057"/>
      <c r="W317" s="1057"/>
      <c r="X317" s="1058"/>
    </row>
    <row r="318" spans="1:24" s="563" customFormat="1" ht="11.25">
      <c r="A318" s="1519"/>
      <c r="B318" s="1520"/>
      <c r="C318" s="1521"/>
      <c r="D318" s="1339"/>
      <c r="F318" s="1522"/>
      <c r="G318" s="1523">
        <v>226181627</v>
      </c>
      <c r="H318" s="1522"/>
      <c r="I318" s="1522"/>
      <c r="J318" s="1524"/>
      <c r="K318" s="1525"/>
      <c r="L318" s="1526"/>
      <c r="M318" s="972"/>
      <c r="N318" s="1527">
        <f>'[4]2011 tulud '!S206</f>
        <v>14536957.723165644</v>
      </c>
      <c r="O318" s="1528"/>
      <c r="P318" s="1529"/>
      <c r="Q318" s="1529"/>
      <c r="R318" s="1529"/>
      <c r="S318" s="1440"/>
      <c r="U318" s="1058"/>
      <c r="V318" s="1057"/>
      <c r="W318" s="1057"/>
      <c r="X318" s="1058"/>
    </row>
    <row r="319" spans="1:24" s="563" customFormat="1" ht="11.25">
      <c r="A319" s="1519"/>
      <c r="B319" s="1520"/>
      <c r="C319" s="1521"/>
      <c r="D319" s="1339"/>
      <c r="F319" s="1522"/>
      <c r="G319" s="1530"/>
      <c r="H319" s="1524"/>
      <c r="I319" s="1524"/>
      <c r="J319" s="1524"/>
      <c r="K319" s="1525"/>
      <c r="L319" s="1531"/>
      <c r="M319" s="1531"/>
      <c r="N319" s="1531"/>
      <c r="O319" s="1526"/>
      <c r="P319" s="1532"/>
      <c r="Q319" s="1532"/>
      <c r="R319" s="1532"/>
      <c r="S319" s="1533"/>
      <c r="T319" s="1532"/>
      <c r="U319" s="1058"/>
      <c r="V319" s="1057"/>
      <c r="W319" s="1057"/>
      <c r="X319" s="1058"/>
    </row>
    <row r="320" spans="1:21" s="563" customFormat="1" ht="11.25">
      <c r="A320" s="1338"/>
      <c r="B320" s="1534"/>
      <c r="C320" s="1521"/>
      <c r="D320" s="1339"/>
      <c r="F320" s="1522"/>
      <c r="G320" s="1535"/>
      <c r="H320" s="1524"/>
      <c r="I320" s="1524"/>
      <c r="J320" s="1524"/>
      <c r="K320" s="1525"/>
      <c r="L320" s="1531"/>
      <c r="M320" s="1531"/>
      <c r="N320" s="1531"/>
      <c r="O320" s="1526"/>
      <c r="P320" s="1532"/>
      <c r="Q320" s="1532"/>
      <c r="R320" s="1532"/>
      <c r="S320" s="1533"/>
      <c r="T320" s="1532"/>
      <c r="U320" s="1532"/>
    </row>
    <row r="321" spans="1:39" s="563" customFormat="1" ht="12.75">
      <c r="A321" s="1338"/>
      <c r="B321" s="1534"/>
      <c r="C321" s="1536"/>
      <c r="D321" s="1339"/>
      <c r="F321" s="1522"/>
      <c r="G321" s="1535"/>
      <c r="H321" s="1524"/>
      <c r="I321" s="1524"/>
      <c r="J321" s="1524"/>
      <c r="K321" s="1525"/>
      <c r="L321" s="1531"/>
      <c r="M321" s="1531"/>
      <c r="N321" s="1531"/>
      <c r="O321" s="1526"/>
      <c r="P321" s="1532"/>
      <c r="Q321" s="1532"/>
      <c r="R321" s="1532"/>
      <c r="S321" s="1533"/>
      <c r="T321" s="1532"/>
      <c r="U321" s="1532"/>
      <c r="X321" s="1537"/>
      <c r="AD321" s="1538" t="s">
        <v>788</v>
      </c>
      <c r="AE321" s="1538"/>
      <c r="AF321" s="1538"/>
      <c r="AG321" s="1538"/>
      <c r="AH321" s="1538"/>
      <c r="AI321" s="1538"/>
      <c r="AJ321" s="1118"/>
      <c r="AK321" s="1539"/>
      <c r="AL321" s="1118"/>
      <c r="AM321" s="1118"/>
    </row>
    <row r="322" spans="1:39" s="563" customFormat="1" ht="12.75">
      <c r="A322" s="1338"/>
      <c r="B322" s="1534"/>
      <c r="C322" s="1540"/>
      <c r="D322" s="1339"/>
      <c r="F322" s="1541"/>
      <c r="G322" s="1542"/>
      <c r="H322" s="1543"/>
      <c r="I322" s="1543"/>
      <c r="J322" s="1543"/>
      <c r="K322" s="1525"/>
      <c r="L322" s="1525"/>
      <c r="M322" s="1531"/>
      <c r="N322" s="1531"/>
      <c r="O322" s="1526"/>
      <c r="P322" s="1532"/>
      <c r="Q322" s="1544"/>
      <c r="R322" s="1545"/>
      <c r="S322" s="1533"/>
      <c r="T322" s="1532"/>
      <c r="U322" s="1532"/>
      <c r="X322" s="1537"/>
      <c r="AD322" s="1546"/>
      <c r="AE322" s="1546"/>
      <c r="AF322" s="1546"/>
      <c r="AG322" s="1546"/>
      <c r="AH322" s="1546"/>
      <c r="AI322" s="1546"/>
      <c r="AJ322" s="1121"/>
      <c r="AK322" s="1121"/>
      <c r="AL322" s="1121"/>
      <c r="AM322" s="1121"/>
    </row>
    <row r="323" spans="1:39" s="563" customFormat="1" ht="12" thickBot="1">
      <c r="A323" s="1338"/>
      <c r="B323" s="1534"/>
      <c r="C323" s="1540"/>
      <c r="D323" s="1339"/>
      <c r="F323" s="1522"/>
      <c r="G323" s="1535"/>
      <c r="H323" s="1524"/>
      <c r="I323" s="1524"/>
      <c r="J323" s="1524"/>
      <c r="K323" s="1531"/>
      <c r="L323" s="1531"/>
      <c r="M323" s="1531"/>
      <c r="N323" s="1531"/>
      <c r="O323" s="1526"/>
      <c r="P323" s="1532"/>
      <c r="Q323" s="1544"/>
      <c r="R323" s="1545"/>
      <c r="S323" s="1533"/>
      <c r="T323" s="1532"/>
      <c r="U323" s="1532"/>
      <c r="X323" s="974"/>
      <c r="AD323" s="1121" t="s">
        <v>789</v>
      </c>
      <c r="AE323" s="1121"/>
      <c r="AF323" s="1121"/>
      <c r="AG323" s="1121"/>
      <c r="AH323" s="1121"/>
      <c r="AI323" s="1121"/>
      <c r="AJ323" s="1121"/>
      <c r="AK323" s="1121"/>
      <c r="AL323" s="1121"/>
      <c r="AM323" s="1121"/>
    </row>
    <row r="324" spans="1:39" s="563" customFormat="1" ht="11.25">
      <c r="A324" s="1519"/>
      <c r="B324" s="1520"/>
      <c r="C324" s="1521"/>
      <c r="D324" s="1339"/>
      <c r="G324" s="1440"/>
      <c r="H324" s="1440"/>
      <c r="I324" s="1440"/>
      <c r="J324" s="1440"/>
      <c r="K324" s="1440"/>
      <c r="L324" s="1535"/>
      <c r="M324" s="1535"/>
      <c r="N324" s="1535"/>
      <c r="O324" s="1547"/>
      <c r="S324" s="1440"/>
      <c r="X324" s="1548" t="s">
        <v>26</v>
      </c>
      <c r="Y324" s="1549" t="s">
        <v>790</v>
      </c>
      <c r="Z324" s="1550"/>
      <c r="AA324" s="1550"/>
      <c r="AB324" s="1551" t="s">
        <v>791</v>
      </c>
      <c r="AC324" s="1550" t="s">
        <v>792</v>
      </c>
      <c r="AD324" s="1551" t="s">
        <v>793</v>
      </c>
      <c r="AE324" s="1550" t="s">
        <v>792</v>
      </c>
      <c r="AF324" s="1551" t="s">
        <v>5</v>
      </c>
      <c r="AG324" s="1550" t="s">
        <v>792</v>
      </c>
      <c r="AH324" s="1552" t="s">
        <v>6</v>
      </c>
      <c r="AI324" s="1553" t="s">
        <v>35</v>
      </c>
      <c r="AJ324" s="1554" t="s">
        <v>7</v>
      </c>
      <c r="AK324" s="1553" t="s">
        <v>35</v>
      </c>
      <c r="AL324" s="1555" t="s">
        <v>8</v>
      </c>
      <c r="AM324" s="1556" t="s">
        <v>35</v>
      </c>
    </row>
    <row r="325" spans="1:39" s="563" customFormat="1" ht="12" thickBot="1">
      <c r="A325" s="1519"/>
      <c r="B325" s="1520"/>
      <c r="C325" s="1521"/>
      <c r="D325" s="1339"/>
      <c r="F325" s="1522"/>
      <c r="G325" s="1440"/>
      <c r="H325" s="1524"/>
      <c r="I325" s="1524"/>
      <c r="J325" s="1524"/>
      <c r="K325" s="1557"/>
      <c r="L325" s="1535"/>
      <c r="M325" s="1535"/>
      <c r="N325" s="1535"/>
      <c r="O325" s="1547"/>
      <c r="S325" s="1440"/>
      <c r="X325" s="1558"/>
      <c r="Y325" s="1559"/>
      <c r="Z325" s="1560"/>
      <c r="AA325" s="1560"/>
      <c r="AB325" s="1561" t="s">
        <v>16</v>
      </c>
      <c r="AC325" s="1562" t="s">
        <v>794</v>
      </c>
      <c r="AD325" s="1561" t="s">
        <v>16</v>
      </c>
      <c r="AE325" s="1563" t="s">
        <v>794</v>
      </c>
      <c r="AF325" s="1561" t="s">
        <v>16</v>
      </c>
      <c r="AG325" s="1563" t="s">
        <v>794</v>
      </c>
      <c r="AH325" s="1561" t="s">
        <v>16</v>
      </c>
      <c r="AI325" s="1563" t="s">
        <v>794</v>
      </c>
      <c r="AJ325" s="1564" t="s">
        <v>795</v>
      </c>
      <c r="AK325" s="1563" t="s">
        <v>794</v>
      </c>
      <c r="AL325" s="1565" t="s">
        <v>16</v>
      </c>
      <c r="AM325" s="1566" t="s">
        <v>794</v>
      </c>
    </row>
    <row r="326" spans="1:39" s="563" customFormat="1" ht="11.25">
      <c r="A326" s="1519"/>
      <c r="B326" s="1520"/>
      <c r="C326" s="1521"/>
      <c r="D326" s="1339"/>
      <c r="F326" s="1522"/>
      <c r="G326" s="1440"/>
      <c r="H326" s="1524"/>
      <c r="I326" s="1524"/>
      <c r="J326" s="1524"/>
      <c r="K326" s="1567"/>
      <c r="L326" s="1535"/>
      <c r="M326" s="1535"/>
      <c r="N326" s="1535"/>
      <c r="O326" s="1547"/>
      <c r="S326" s="1440"/>
      <c r="T326" s="1118"/>
      <c r="U326" s="1118"/>
      <c r="V326" s="1118"/>
      <c r="W326" s="1118"/>
      <c r="X326" s="1568" t="s">
        <v>368</v>
      </c>
      <c r="Y326" s="1569" t="s">
        <v>796</v>
      </c>
      <c r="Z326" s="1569"/>
      <c r="AA326" s="1569"/>
      <c r="AB326" s="1570">
        <v>17980455</v>
      </c>
      <c r="AC326" s="1571">
        <f>AB326/$AB$337*100</f>
        <v>10.589124708199112</v>
      </c>
      <c r="AD326" s="1570">
        <v>23861203</v>
      </c>
      <c r="AE326" s="1572">
        <v>11.74287722257258</v>
      </c>
      <c r="AF326" s="1570">
        <v>25901562</v>
      </c>
      <c r="AG326" s="1572">
        <v>11.451664854052602</v>
      </c>
      <c r="AH326" s="1570">
        <v>28705356</v>
      </c>
      <c r="AI326" s="1572">
        <f>AH326/AH337*100</f>
        <v>12.383563590702108</v>
      </c>
      <c r="AJ326" s="1570">
        <v>24943885</v>
      </c>
      <c r="AK326" s="1572">
        <f>AJ326/AJ337*100</f>
        <v>11.586681022747076</v>
      </c>
      <c r="AL326" s="1570">
        <v>27841214</v>
      </c>
      <c r="AM326" s="1573">
        <f>AL326/AL337*100</f>
        <v>14.169075049931088</v>
      </c>
    </row>
    <row r="327" spans="1:39" s="563" customFormat="1" ht="11.25">
      <c r="A327" s="1519"/>
      <c r="B327" s="1520"/>
      <c r="C327" s="1521"/>
      <c r="D327" s="1339"/>
      <c r="F327" s="1522"/>
      <c r="G327" s="1440"/>
      <c r="H327" s="1524"/>
      <c r="I327" s="1524"/>
      <c r="J327" s="1524"/>
      <c r="K327" s="1567"/>
      <c r="L327" s="1535"/>
      <c r="M327" s="1535"/>
      <c r="N327" s="1535"/>
      <c r="O327" s="1547"/>
      <c r="S327" s="1440"/>
      <c r="X327" s="1574" t="s">
        <v>422</v>
      </c>
      <c r="Y327" s="563" t="s">
        <v>797</v>
      </c>
      <c r="AB327" s="1547">
        <v>334076</v>
      </c>
      <c r="AC327" s="1571">
        <f aca="true" t="shared" si="65" ref="AC327:AC336">AB327/$AB$337*100</f>
        <v>0.1967454341959826</v>
      </c>
      <c r="AD327" s="1547">
        <v>277495</v>
      </c>
      <c r="AE327" s="1571">
        <v>0.13656435154915608</v>
      </c>
      <c r="AF327" s="1547">
        <v>20178</v>
      </c>
      <c r="AG327" s="1571">
        <v>0.008921148980323017</v>
      </c>
      <c r="AH327" s="1547">
        <v>1174890</v>
      </c>
      <c r="AI327" s="1571">
        <f>AH327/AH337*100</f>
        <v>0.5068505343420928</v>
      </c>
      <c r="AJ327" s="1547">
        <v>538000</v>
      </c>
      <c r="AK327" s="1571">
        <f>AJ327/AJ337*100</f>
        <v>0.24990631532489535</v>
      </c>
      <c r="AL327" s="1547">
        <v>252622</v>
      </c>
      <c r="AM327" s="1575">
        <f>AL327/AL337*100</f>
        <v>0.1285655171956112</v>
      </c>
    </row>
    <row r="328" spans="1:39" s="563" customFormat="1" ht="11.25">
      <c r="A328" s="1519"/>
      <c r="B328" s="1520"/>
      <c r="C328" s="1521"/>
      <c r="D328" s="1339"/>
      <c r="F328" s="1522"/>
      <c r="G328" s="1440"/>
      <c r="H328" s="1524"/>
      <c r="I328" s="1524"/>
      <c r="J328" s="1524"/>
      <c r="K328" s="1567"/>
      <c r="L328" s="1535"/>
      <c r="M328" s="1535"/>
      <c r="N328" s="1535"/>
      <c r="O328" s="1547"/>
      <c r="S328" s="1440"/>
      <c r="X328" s="1574" t="s">
        <v>437</v>
      </c>
      <c r="Y328" s="563" t="s">
        <v>798</v>
      </c>
      <c r="AB328" s="1547">
        <v>12446983</v>
      </c>
      <c r="AC328" s="1571">
        <f t="shared" si="65"/>
        <v>7.330329250724428</v>
      </c>
      <c r="AD328" s="1547">
        <v>32156136</v>
      </c>
      <c r="AE328" s="1571">
        <v>15.825084636359119</v>
      </c>
      <c r="AF328" s="1547">
        <v>38888476</v>
      </c>
      <c r="AG328" s="1571">
        <v>17.19347249547607</v>
      </c>
      <c r="AH328" s="1547">
        <v>26601285</v>
      </c>
      <c r="AI328" s="1571">
        <f>AH328/AH337*100</f>
        <v>11.475862009580725</v>
      </c>
      <c r="AJ328" s="1547">
        <v>22810693</v>
      </c>
      <c r="AK328" s="1571">
        <f>AJ328/AJ337*100</f>
        <v>10.59579226326651</v>
      </c>
      <c r="AL328" s="1547">
        <v>23534925</v>
      </c>
      <c r="AM328" s="1575">
        <f>AL328/AL337*100</f>
        <v>11.977499207451924</v>
      </c>
    </row>
    <row r="329" spans="1:39" s="563" customFormat="1" ht="11.25">
      <c r="A329" s="1519"/>
      <c r="B329" s="1520"/>
      <c r="C329" s="1521"/>
      <c r="D329" s="1339"/>
      <c r="F329" s="1522"/>
      <c r="G329" s="1440"/>
      <c r="H329" s="1524"/>
      <c r="I329" s="1524"/>
      <c r="J329" s="1524"/>
      <c r="K329" s="1557"/>
      <c r="L329" s="1535"/>
      <c r="M329" s="1535"/>
      <c r="N329" s="1535"/>
      <c r="O329" s="1547"/>
      <c r="S329" s="1440"/>
      <c r="X329" s="1576" t="s">
        <v>483</v>
      </c>
      <c r="Y329" s="563" t="s">
        <v>799</v>
      </c>
      <c r="AB329" s="1547">
        <v>7775006</v>
      </c>
      <c r="AC329" s="1571">
        <f t="shared" si="65"/>
        <v>4.57888902928187</v>
      </c>
      <c r="AD329" s="1547">
        <v>11073543</v>
      </c>
      <c r="AE329" s="1571">
        <v>5.449652134801335</v>
      </c>
      <c r="AF329" s="1547">
        <v>17060000</v>
      </c>
      <c r="AG329" s="1571">
        <v>7.542610843706546</v>
      </c>
      <c r="AH329" s="1547">
        <v>10558856</v>
      </c>
      <c r="AI329" s="1571">
        <f>AH329/AH337*100</f>
        <v>4.555117334934516</v>
      </c>
      <c r="AJ329" s="1547">
        <v>10800000</v>
      </c>
      <c r="AK329" s="1571">
        <f>AJ329/AJ337*100</f>
        <v>5.0167067016893485</v>
      </c>
      <c r="AL329" s="1547">
        <v>8366000</v>
      </c>
      <c r="AM329" s="1575">
        <f>AL329/AL337*100</f>
        <v>4.257662107253064</v>
      </c>
    </row>
    <row r="330" spans="1:39" s="563" customFormat="1" ht="11.25">
      <c r="A330" s="1519"/>
      <c r="B330" s="1520"/>
      <c r="C330" s="1521"/>
      <c r="D330" s="1339"/>
      <c r="F330" s="1522"/>
      <c r="G330" s="1440"/>
      <c r="H330" s="1524"/>
      <c r="I330" s="1524"/>
      <c r="J330" s="1524"/>
      <c r="K330" s="1557"/>
      <c r="L330" s="1535"/>
      <c r="M330" s="1535"/>
      <c r="N330" s="1535"/>
      <c r="O330" s="1547"/>
      <c r="S330" s="1440"/>
      <c r="X330" s="1574" t="s">
        <v>498</v>
      </c>
      <c r="Y330" s="563" t="s">
        <v>800</v>
      </c>
      <c r="AB330" s="1547">
        <v>7219000</v>
      </c>
      <c r="AC330" s="1571">
        <f t="shared" si="65"/>
        <v>4.2514436519259045</v>
      </c>
      <c r="AD330" s="1547">
        <v>9974000</v>
      </c>
      <c r="AE330" s="1571">
        <v>4.908531117141869</v>
      </c>
      <c r="AF330" s="1547">
        <v>13590000</v>
      </c>
      <c r="AG330" s="1571">
        <v>6.008445566586866</v>
      </c>
      <c r="AH330" s="1547">
        <v>9204734</v>
      </c>
      <c r="AI330" s="1571">
        <f>AH330/AH337*100</f>
        <v>3.9709456599144004</v>
      </c>
      <c r="AJ330" s="1547">
        <v>4325000</v>
      </c>
      <c r="AK330" s="1571">
        <f>AJ330/AJ337*100</f>
        <v>2.0090052300746697</v>
      </c>
      <c r="AL330" s="1547">
        <v>4235000</v>
      </c>
      <c r="AM330" s="1575">
        <f>AL330/AL337*100</f>
        <v>2.1552951260120397</v>
      </c>
    </row>
    <row r="331" spans="2:39" s="563" customFormat="1" ht="11.25">
      <c r="B331" s="1577"/>
      <c r="C331" s="1577"/>
      <c r="D331" s="1339"/>
      <c r="F331" s="1522"/>
      <c r="G331" s="1440"/>
      <c r="J331" s="1440"/>
      <c r="L331" s="1537"/>
      <c r="M331" s="1535"/>
      <c r="N331" s="1535"/>
      <c r="O331" s="1547"/>
      <c r="S331" s="1440"/>
      <c r="X331" s="1574" t="s">
        <v>498</v>
      </c>
      <c r="Y331" s="563" t="s">
        <v>801</v>
      </c>
      <c r="AB331" s="1547">
        <v>7259787</v>
      </c>
      <c r="AC331" s="1571">
        <f t="shared" si="65"/>
        <v>4.275464102435823</v>
      </c>
      <c r="AD331" s="1547">
        <v>4925281</v>
      </c>
      <c r="AE331" s="1571">
        <v>2.423891623136918</v>
      </c>
      <c r="AF331" s="1547">
        <v>2985705</v>
      </c>
      <c r="AG331" s="1571">
        <v>1.3200475327730863</v>
      </c>
      <c r="AH331" s="1547">
        <v>4315968</v>
      </c>
      <c r="AI331" s="1571">
        <f>AH331/AH337*100</f>
        <v>1.8619195728990574</v>
      </c>
      <c r="AJ331" s="1547">
        <v>3420871</v>
      </c>
      <c r="AK331" s="1571">
        <f>AJ331/AJ337*100</f>
        <v>1.5890283769735873</v>
      </c>
      <c r="AL331" s="1547">
        <v>1204694</v>
      </c>
      <c r="AM331" s="1575">
        <f>AL331/AL337*100</f>
        <v>0.6130982541997515</v>
      </c>
    </row>
    <row r="332" spans="2:39" s="563" customFormat="1" ht="11.25">
      <c r="B332" s="1577"/>
      <c r="C332" s="1577"/>
      <c r="D332" s="1339"/>
      <c r="F332" s="1522"/>
      <c r="G332" s="1440"/>
      <c r="J332" s="1440"/>
      <c r="S332" s="1440"/>
      <c r="X332" s="1574" t="s">
        <v>521</v>
      </c>
      <c r="Y332" s="563" t="s">
        <v>522</v>
      </c>
      <c r="AB332" s="1547">
        <v>325000</v>
      </c>
      <c r="AC332" s="1571">
        <f t="shared" si="65"/>
        <v>0.1914003583426955</v>
      </c>
      <c r="AD332" s="1547">
        <v>409415</v>
      </c>
      <c r="AE332" s="1571">
        <v>0.20148649161065152</v>
      </c>
      <c r="AF332" s="1547">
        <v>600000</v>
      </c>
      <c r="AG332" s="1571">
        <v>0.2652735349486476</v>
      </c>
      <c r="AH332" s="1547">
        <v>700000</v>
      </c>
      <c r="AI332" s="1571">
        <f>AH332/AH337*100</f>
        <v>0.3019817804555873</v>
      </c>
      <c r="AJ332" s="1547">
        <v>700000</v>
      </c>
      <c r="AK332" s="1571">
        <f>AJ332/AJ337*100</f>
        <v>0.3251569158502356</v>
      </c>
      <c r="AL332" s="1547">
        <v>580000</v>
      </c>
      <c r="AM332" s="1575">
        <f>AL332/AL337*100</f>
        <v>0.29517619199220374</v>
      </c>
    </row>
    <row r="333" spans="2:39" s="563" customFormat="1" ht="11.25">
      <c r="B333" s="1577"/>
      <c r="C333" s="1577"/>
      <c r="D333" s="1339"/>
      <c r="F333" s="1522"/>
      <c r="G333" s="1440"/>
      <c r="J333" s="1440"/>
      <c r="X333" s="1574" t="s">
        <v>540</v>
      </c>
      <c r="Y333" s="563" t="s">
        <v>802</v>
      </c>
      <c r="AB333" s="1547">
        <v>16000051</v>
      </c>
      <c r="AC333" s="1571">
        <f t="shared" si="65"/>
        <v>9.422816907388935</v>
      </c>
      <c r="AD333" s="1547">
        <v>15909576</v>
      </c>
      <c r="AE333" s="1571">
        <v>7.829621902600106</v>
      </c>
      <c r="AF333" s="1547">
        <v>16597474</v>
      </c>
      <c r="AG333" s="1571">
        <v>7.338117665330449</v>
      </c>
      <c r="AH333" s="1547">
        <v>22701930</v>
      </c>
      <c r="AI333" s="1571">
        <f>AH333/AH337*100</f>
        <v>9.793670344540159</v>
      </c>
      <c r="AJ333" s="1535">
        <v>21364960</v>
      </c>
      <c r="AK333" s="1571">
        <f>AJ333/AJ337*100</f>
        <v>9.924235001233784</v>
      </c>
      <c r="AL333" s="1547">
        <v>16860044</v>
      </c>
      <c r="AM333" s="1575">
        <f>AL333/AL337*100</f>
        <v>8.580488939208626</v>
      </c>
    </row>
    <row r="334" spans="2:39" s="563" customFormat="1" ht="11.25">
      <c r="B334" s="1577"/>
      <c r="C334" s="1577"/>
      <c r="D334" s="1339"/>
      <c r="F334" s="1524"/>
      <c r="G334" s="1440"/>
      <c r="J334" s="1440"/>
      <c r="X334" s="1574" t="s">
        <v>600</v>
      </c>
      <c r="Y334" s="563" t="s">
        <v>803</v>
      </c>
      <c r="AB334" s="1547">
        <v>68567228</v>
      </c>
      <c r="AC334" s="1571">
        <f t="shared" si="65"/>
        <v>40.380898491585555</v>
      </c>
      <c r="AD334" s="1547">
        <v>77650905</v>
      </c>
      <c r="AE334" s="1571">
        <v>38.21454616670615</v>
      </c>
      <c r="AF334" s="1547">
        <v>84117972</v>
      </c>
      <c r="AG334" s="1571">
        <v>37.190452975252256</v>
      </c>
      <c r="AH334" s="1547">
        <v>96655362</v>
      </c>
      <c r="AI334" s="1571">
        <f>AH334/AH337*100</f>
        <v>41.697369010484735</v>
      </c>
      <c r="AJ334" s="1547">
        <v>89946296</v>
      </c>
      <c r="AK334" s="1571">
        <f>AJ334/AJ337*100</f>
        <v>41.780943142160545</v>
      </c>
      <c r="AL334" s="1547">
        <v>80173661</v>
      </c>
      <c r="AM334" s="1575">
        <f>AL334/AL337*100</f>
        <v>40.80233784836872</v>
      </c>
    </row>
    <row r="335" spans="2:39" s="563" customFormat="1" ht="11.25">
      <c r="B335" s="1577"/>
      <c r="C335" s="1577"/>
      <c r="D335" s="1339"/>
      <c r="F335" s="1524"/>
      <c r="G335" s="1440"/>
      <c r="J335" s="1440"/>
      <c r="K335" s="1339"/>
      <c r="X335" s="1574" t="s">
        <v>804</v>
      </c>
      <c r="Y335" s="563" t="s">
        <v>805</v>
      </c>
      <c r="AB335" s="1547">
        <v>14457125</v>
      </c>
      <c r="AC335" s="1571">
        <f t="shared" si="65"/>
        <v>8.514150478785051</v>
      </c>
      <c r="AD335" s="1547">
        <v>18851576</v>
      </c>
      <c r="AE335" s="1571">
        <v>9.277476178380272</v>
      </c>
      <c r="AF335" s="1547">
        <v>17438337</v>
      </c>
      <c r="AG335" s="1571">
        <v>7.709882166026323</v>
      </c>
      <c r="AH335" s="1547">
        <v>21632558</v>
      </c>
      <c r="AI335" s="1571">
        <f>AH335/AH337*100</f>
        <v>9.33234054378394</v>
      </c>
      <c r="AJ335" s="1547">
        <v>26685037</v>
      </c>
      <c r="AK335" s="1571">
        <f>AJ335/AJ337*100</f>
        <v>12.39546332895632</v>
      </c>
      <c r="AL335" s="1547">
        <v>23680723</v>
      </c>
      <c r="AM335" s="1575">
        <f>AL335/AL337*100</f>
        <v>12.051699377176199</v>
      </c>
    </row>
    <row r="336" spans="2:39" s="563" customFormat="1" ht="12" thickBot="1">
      <c r="B336" s="1577"/>
      <c r="C336" s="1577"/>
      <c r="D336" s="1339"/>
      <c r="F336" s="1524"/>
      <c r="G336" s="1440"/>
      <c r="J336" s="1440"/>
      <c r="K336" s="1339"/>
      <c r="X336" s="1578"/>
      <c r="Y336" s="1579" t="s">
        <v>806</v>
      </c>
      <c r="Z336" s="1579"/>
      <c r="AA336" s="1579"/>
      <c r="AB336" s="1580">
        <f>15963194+1473240</f>
        <v>17436434</v>
      </c>
      <c r="AC336" s="1581">
        <f t="shared" si="65"/>
        <v>10.268737587134645</v>
      </c>
      <c r="AD336" s="1580">
        <v>8108115</v>
      </c>
      <c r="AE336" s="1581">
        <v>3.990268175141843</v>
      </c>
      <c r="AF336" s="1580">
        <v>8981924</v>
      </c>
      <c r="AG336" s="1581">
        <v>3.971111216866827</v>
      </c>
      <c r="AH336" s="1580">
        <v>9551125</v>
      </c>
      <c r="AI336" s="1581">
        <f>AH336/AH337*100</f>
        <v>4.120379618362673</v>
      </c>
      <c r="AJ336" s="1580">
        <v>9745932</v>
      </c>
      <c r="AK336" s="1581">
        <f>AJ336/AJ337*100</f>
        <v>4.527081701723025</v>
      </c>
      <c r="AL336" s="1580">
        <v>9763930</v>
      </c>
      <c r="AM336" s="1582">
        <f>AL336/AL337*100</f>
        <v>4.969102890135238</v>
      </c>
    </row>
    <row r="337" spans="2:39" s="563" customFormat="1" ht="11.25">
      <c r="B337" s="1577"/>
      <c r="C337" s="1577"/>
      <c r="D337" s="1339"/>
      <c r="F337" s="1524"/>
      <c r="G337" s="1440"/>
      <c r="J337" s="1440"/>
      <c r="X337" s="1350"/>
      <c r="Y337" s="1350" t="s">
        <v>807</v>
      </c>
      <c r="Z337" s="1350"/>
      <c r="AA337" s="1350"/>
      <c r="AB337" s="1583">
        <f>SUM(AB326:AB336)</f>
        <v>169801145</v>
      </c>
      <c r="AC337" s="1583">
        <f>SUM(AC326:AC336)</f>
        <v>100</v>
      </c>
      <c r="AD337" s="1583">
        <v>203197245</v>
      </c>
      <c r="AE337" s="1350">
        <v>100</v>
      </c>
      <c r="AF337" s="1583">
        <v>226181628</v>
      </c>
      <c r="AG337" s="1350">
        <v>100</v>
      </c>
      <c r="AH337" s="1583">
        <f>SUM(AH326:AH336)</f>
        <v>231802064</v>
      </c>
      <c r="AI337" s="1350">
        <f>SUM(AI326:AI336)</f>
        <v>100</v>
      </c>
      <c r="AJ337" s="1584">
        <f>SUM(AJ326:AJ336)</f>
        <v>215280674</v>
      </c>
      <c r="AK337" s="1350">
        <f>SUM(AK326:AK336)</f>
        <v>100</v>
      </c>
      <c r="AL337" s="1584">
        <f>SUM(AL326:AL336)-1</f>
        <v>196492812</v>
      </c>
      <c r="AM337" s="1585">
        <f>SUM(AM326:AM336)</f>
        <v>100.00000050892446</v>
      </c>
    </row>
    <row r="338" spans="1:10" s="563" customFormat="1" ht="11.25">
      <c r="A338" s="1519"/>
      <c r="B338" s="1520"/>
      <c r="C338" s="1521"/>
      <c r="D338" s="1339"/>
      <c r="F338" s="1524"/>
      <c r="G338" s="1440"/>
      <c r="J338" s="1440"/>
    </row>
    <row r="339" spans="1:10" s="563" customFormat="1" ht="11.25">
      <c r="A339" s="1519"/>
      <c r="B339" s="1520"/>
      <c r="C339" s="1521"/>
      <c r="D339" s="1339"/>
      <c r="F339" s="1522"/>
      <c r="G339" s="1440"/>
      <c r="J339" s="1440"/>
    </row>
    <row r="340" spans="1:10" s="563" customFormat="1" ht="11.25">
      <c r="A340" s="1519"/>
      <c r="B340" s="1520"/>
      <c r="C340" s="1521"/>
      <c r="D340" s="1339"/>
      <c r="F340" s="1522"/>
      <c r="G340" s="1440"/>
      <c r="J340" s="1440"/>
    </row>
    <row r="341" spans="1:10" s="563" customFormat="1" ht="11.25">
      <c r="A341" s="1519"/>
      <c r="B341" s="1520"/>
      <c r="C341" s="1521"/>
      <c r="D341" s="1339"/>
      <c r="F341" s="1522"/>
      <c r="G341" s="1440"/>
      <c r="J341" s="1440"/>
    </row>
    <row r="342" spans="1:10" s="563" customFormat="1" ht="11.25">
      <c r="A342" s="1519"/>
      <c r="B342" s="1520"/>
      <c r="C342" s="1521"/>
      <c r="D342" s="1339"/>
      <c r="F342" s="1522"/>
      <c r="G342" s="1440"/>
      <c r="J342" s="1440"/>
    </row>
    <row r="343" spans="1:10" s="563" customFormat="1" ht="11.25">
      <c r="A343" s="1519"/>
      <c r="B343" s="1520"/>
      <c r="C343" s="1521"/>
      <c r="D343" s="1339"/>
      <c r="F343" s="1522"/>
      <c r="G343" s="1440"/>
      <c r="J343" s="1440"/>
    </row>
    <row r="344" spans="1:10" s="563" customFormat="1" ht="11.25">
      <c r="A344" s="1519"/>
      <c r="B344" s="1520"/>
      <c r="C344" s="1521"/>
      <c r="D344" s="1339"/>
      <c r="F344" s="1522"/>
      <c r="G344" s="1440"/>
      <c r="J344" s="1440"/>
    </row>
    <row r="345" spans="1:10" s="563" customFormat="1" ht="11.25">
      <c r="A345" s="1519"/>
      <c r="B345" s="1520"/>
      <c r="C345" s="1521"/>
      <c r="D345" s="1339"/>
      <c r="F345" s="1522"/>
      <c r="G345" s="1440"/>
      <c r="J345" s="1440"/>
    </row>
    <row r="346" spans="1:10" s="563" customFormat="1" ht="11.25">
      <c r="A346" s="1519"/>
      <c r="B346" s="1520"/>
      <c r="C346" s="1521"/>
      <c r="D346" s="1339"/>
      <c r="F346" s="1522"/>
      <c r="J346" s="1440"/>
    </row>
    <row r="347" spans="1:10" s="563" customFormat="1" ht="11.25">
      <c r="A347" s="1519"/>
      <c r="B347" s="1520"/>
      <c r="C347" s="1521"/>
      <c r="D347" s="1339"/>
      <c r="F347" s="1522"/>
      <c r="J347" s="1440"/>
    </row>
    <row r="348" spans="1:10" s="563" customFormat="1" ht="11.25">
      <c r="A348" s="1519"/>
      <c r="B348" s="1520"/>
      <c r="C348" s="1521"/>
      <c r="D348" s="1339"/>
      <c r="F348" s="1522"/>
      <c r="J348" s="1440"/>
    </row>
    <row r="349" spans="1:34" s="563" customFormat="1" ht="11.25">
      <c r="A349" s="1519"/>
      <c r="B349" s="1520"/>
      <c r="C349" s="1521"/>
      <c r="D349" s="1339"/>
      <c r="F349" s="1522"/>
      <c r="J349" s="1440"/>
      <c r="K349" s="1350"/>
      <c r="Y349" s="1519"/>
      <c r="Z349" s="1519"/>
      <c r="AA349" s="1519"/>
      <c r="AB349" s="1519"/>
      <c r="AC349" s="1519"/>
      <c r="AD349" s="1519"/>
      <c r="AE349" s="1519"/>
      <c r="AF349" s="1519"/>
      <c r="AG349" s="1519"/>
      <c r="AH349" s="1339"/>
    </row>
    <row r="350" spans="1:15" s="563" customFormat="1" ht="11.25">
      <c r="A350" s="1519"/>
      <c r="B350" s="1520"/>
      <c r="C350" s="1521"/>
      <c r="D350" s="1339"/>
      <c r="F350" s="1522"/>
      <c r="H350" s="1522"/>
      <c r="I350" s="1522"/>
      <c r="J350" s="1524"/>
      <c r="K350" s="974"/>
      <c r="L350" s="1547"/>
      <c r="M350" s="1535"/>
      <c r="N350" s="1535"/>
      <c r="O350" s="1547"/>
    </row>
    <row r="351" spans="1:15" s="563" customFormat="1" ht="11.25">
      <c r="A351" s="1519"/>
      <c r="B351" s="1520"/>
      <c r="C351" s="1521"/>
      <c r="D351" s="1339"/>
      <c r="J351" s="1440"/>
      <c r="L351" s="1547"/>
      <c r="M351" s="1535"/>
      <c r="N351" s="1535"/>
      <c r="O351" s="1547"/>
    </row>
    <row r="352" spans="1:15" s="563" customFormat="1" ht="11.25">
      <c r="A352" s="1519"/>
      <c r="B352" s="1520"/>
      <c r="C352" s="1521"/>
      <c r="D352" s="1339"/>
      <c r="J352" s="1440"/>
      <c r="L352" s="1547"/>
      <c r="M352" s="1535"/>
      <c r="N352" s="1535"/>
      <c r="O352" s="1547"/>
    </row>
    <row r="353" spans="1:15" s="563" customFormat="1" ht="11.25">
      <c r="A353" s="1519"/>
      <c r="B353" s="1520"/>
      <c r="C353" s="1521"/>
      <c r="D353" s="1339"/>
      <c r="J353" s="1440"/>
      <c r="L353" s="1547"/>
      <c r="M353" s="1535"/>
      <c r="N353" s="1535"/>
      <c r="O353" s="1547"/>
    </row>
    <row r="354" spans="1:15" s="563" customFormat="1" ht="11.25">
      <c r="A354" s="1519"/>
      <c r="B354" s="1520"/>
      <c r="C354" s="1521"/>
      <c r="D354" s="1339"/>
      <c r="J354" s="1440"/>
      <c r="L354" s="1547"/>
      <c r="M354" s="1535"/>
      <c r="N354" s="1535"/>
      <c r="O354" s="1547"/>
    </row>
    <row r="355" spans="1:15" s="563" customFormat="1" ht="11.25">
      <c r="A355" s="1519"/>
      <c r="B355" s="1520"/>
      <c r="C355" s="1521"/>
      <c r="D355" s="1339"/>
      <c r="J355" s="1440"/>
      <c r="L355" s="1547"/>
      <c r="M355" s="1535"/>
      <c r="N355" s="1535"/>
      <c r="O355" s="1547"/>
    </row>
    <row r="356" spans="1:15" s="563" customFormat="1" ht="11.25">
      <c r="A356" s="1519"/>
      <c r="B356" s="1520"/>
      <c r="C356" s="1521"/>
      <c r="D356" s="1339"/>
      <c r="F356" s="1522"/>
      <c r="H356" s="1522"/>
      <c r="I356" s="1522"/>
      <c r="J356" s="1524"/>
      <c r="K356" s="974"/>
      <c r="L356" s="1547"/>
      <c r="M356" s="1535"/>
      <c r="N356" s="1535"/>
      <c r="O356" s="1547"/>
    </row>
    <row r="357" spans="1:15" s="563" customFormat="1" ht="11.25">
      <c r="A357" s="1519"/>
      <c r="B357" s="1520"/>
      <c r="C357" s="1521"/>
      <c r="D357" s="1339"/>
      <c r="F357" s="1522"/>
      <c r="H357" s="1522"/>
      <c r="I357" s="1522"/>
      <c r="J357" s="1524"/>
      <c r="K357" s="974"/>
      <c r="L357" s="1547"/>
      <c r="M357" s="1535"/>
      <c r="N357" s="1535"/>
      <c r="O357" s="1547"/>
    </row>
    <row r="358" spans="1:15" s="563" customFormat="1" ht="11.25">
      <c r="A358" s="1519"/>
      <c r="B358" s="1520"/>
      <c r="C358" s="1521"/>
      <c r="D358" s="1339"/>
      <c r="F358" s="1522"/>
      <c r="H358" s="1522"/>
      <c r="I358" s="1522"/>
      <c r="J358" s="1524"/>
      <c r="K358" s="974"/>
      <c r="L358" s="1547"/>
      <c r="M358" s="1535"/>
      <c r="N358" s="1535"/>
      <c r="O358" s="1547"/>
    </row>
    <row r="359" spans="1:15" s="563" customFormat="1" ht="11.25">
      <c r="A359" s="1519"/>
      <c r="B359" s="1520"/>
      <c r="C359" s="1521"/>
      <c r="D359" s="1339"/>
      <c r="F359" s="1522"/>
      <c r="H359" s="1522"/>
      <c r="I359" s="1522"/>
      <c r="J359" s="1524"/>
      <c r="K359" s="974"/>
      <c r="L359" s="1547"/>
      <c r="M359" s="1535"/>
      <c r="N359" s="1535"/>
      <c r="O359" s="1547"/>
    </row>
    <row r="360" ht="11.25">
      <c r="J360" s="1589"/>
    </row>
    <row r="361" ht="11.25" hidden="1">
      <c r="J361" s="1589"/>
    </row>
    <row r="362" ht="11.25">
      <c r="J362" s="1589"/>
    </row>
    <row r="363" ht="11.25">
      <c r="J363" s="1589"/>
    </row>
    <row r="364" ht="11.25">
      <c r="J364" s="1589"/>
    </row>
    <row r="365" ht="13.5" customHeight="1">
      <c r="J365" s="1589"/>
    </row>
    <row r="366" ht="13.5" customHeight="1">
      <c r="J366" s="1589"/>
    </row>
    <row r="367" ht="13.5" customHeight="1">
      <c r="J367" s="1589"/>
    </row>
    <row r="368" ht="13.5" customHeight="1">
      <c r="J368" s="1589"/>
    </row>
    <row r="369" ht="13.5" customHeight="1">
      <c r="J369" s="1589"/>
    </row>
    <row r="370" ht="13.5" customHeight="1">
      <c r="J370" s="1589"/>
    </row>
    <row r="371" ht="13.5" customHeight="1">
      <c r="J371" s="1589"/>
    </row>
    <row r="372" ht="11.25">
      <c r="J372" s="1589"/>
    </row>
    <row r="373" ht="11.25">
      <c r="J373" s="1589"/>
    </row>
    <row r="374" ht="11.25">
      <c r="J374" s="1589"/>
    </row>
    <row r="375" ht="11.25">
      <c r="J375" s="1589"/>
    </row>
    <row r="376" ht="11.25">
      <c r="J376" s="1589"/>
    </row>
    <row r="377" ht="11.25">
      <c r="J377" s="1589"/>
    </row>
    <row r="378" ht="11.25">
      <c r="J378" s="1589"/>
    </row>
    <row r="379" ht="11.25">
      <c r="J379" s="1589"/>
    </row>
    <row r="380" ht="11.25">
      <c r="J380" s="1589"/>
    </row>
    <row r="381" ht="11.25">
      <c r="J381" s="1589"/>
    </row>
    <row r="382" ht="11.25">
      <c r="J382" s="1589"/>
    </row>
    <row r="383" ht="11.25">
      <c r="J383" s="1589"/>
    </row>
    <row r="384" spans="10:33" ht="11.25">
      <c r="J384" s="1589"/>
      <c r="X384" s="1593" t="s">
        <v>808</v>
      </c>
      <c r="Y384" s="563" t="s">
        <v>809</v>
      </c>
      <c r="Z384" s="563"/>
      <c r="AA384" s="563"/>
      <c r="AB384" s="563"/>
      <c r="AC384" s="563"/>
      <c r="AD384" s="563"/>
      <c r="AE384" s="563"/>
      <c r="AF384" s="563"/>
      <c r="AG384" s="563"/>
    </row>
    <row r="385" spans="10:33" ht="11.25">
      <c r="J385" s="1589"/>
      <c r="X385" s="1593">
        <v>2010</v>
      </c>
      <c r="Y385" s="1594">
        <v>196492812</v>
      </c>
      <c r="Z385" s="1594"/>
      <c r="AA385" s="1594"/>
      <c r="AB385" s="1594"/>
      <c r="AC385" s="1594"/>
      <c r="AD385" s="1594"/>
      <c r="AE385" s="1594"/>
      <c r="AF385" s="1594"/>
      <c r="AG385" s="1594"/>
    </row>
    <row r="386" spans="10:33" ht="11.25">
      <c r="J386" s="1589"/>
      <c r="X386" s="563">
        <v>2009</v>
      </c>
      <c r="Y386" s="1594">
        <v>215280674</v>
      </c>
      <c r="Z386" s="1594"/>
      <c r="AA386" s="1594"/>
      <c r="AB386" s="1594"/>
      <c r="AC386" s="1594"/>
      <c r="AD386" s="1594"/>
      <c r="AE386" s="1594"/>
      <c r="AF386" s="1594"/>
      <c r="AG386" s="1594"/>
    </row>
    <row r="387" spans="10:33" ht="11.25">
      <c r="J387" s="1589"/>
      <c r="X387" s="563">
        <v>2008</v>
      </c>
      <c r="Y387" s="1594">
        <v>231802067</v>
      </c>
      <c r="Z387" s="1594"/>
      <c r="AA387" s="1594"/>
      <c r="AB387" s="1594"/>
      <c r="AC387" s="1594"/>
      <c r="AD387" s="1594"/>
      <c r="AE387" s="1594"/>
      <c r="AF387" s="1594"/>
      <c r="AG387" s="1594"/>
    </row>
    <row r="388" spans="10:33" ht="11.25">
      <c r="J388" s="1589"/>
      <c r="X388" s="563">
        <v>2007</v>
      </c>
      <c r="Y388" s="1594">
        <v>232323524</v>
      </c>
      <c r="Z388" s="1594"/>
      <c r="AA388" s="1594"/>
      <c r="AB388" s="1594"/>
      <c r="AC388" s="1594"/>
      <c r="AD388" s="1594"/>
      <c r="AE388" s="1594"/>
      <c r="AF388" s="1594"/>
      <c r="AG388" s="1594"/>
    </row>
    <row r="389" spans="10:33" ht="11.25">
      <c r="J389" s="1589"/>
      <c r="L389" s="1547"/>
      <c r="M389" s="1535"/>
      <c r="N389" s="1535"/>
      <c r="O389" s="1547"/>
      <c r="P389" s="563"/>
      <c r="Q389" s="563"/>
      <c r="R389" s="563"/>
      <c r="X389" s="563">
        <v>2006</v>
      </c>
      <c r="Y389" s="1594">
        <v>203197245</v>
      </c>
      <c r="Z389" s="1594"/>
      <c r="AA389" s="1594"/>
      <c r="AB389" s="1594"/>
      <c r="AC389" s="1594"/>
      <c r="AD389" s="1594"/>
      <c r="AE389" s="1594"/>
      <c r="AF389" s="1594"/>
      <c r="AG389" s="1594"/>
    </row>
    <row r="390" spans="10:18" ht="11.25">
      <c r="J390" s="1589"/>
      <c r="L390" s="1547"/>
      <c r="M390" s="1535"/>
      <c r="N390" s="1535"/>
      <c r="O390" s="1547"/>
      <c r="P390" s="563"/>
      <c r="Q390" s="563"/>
      <c r="R390" s="563"/>
    </row>
    <row r="391" spans="10:18" ht="11.25">
      <c r="J391" s="1589"/>
      <c r="L391" s="1547"/>
      <c r="M391" s="1535"/>
      <c r="N391" s="1535"/>
      <c r="O391" s="1547"/>
      <c r="P391" s="563"/>
      <c r="Q391" s="563"/>
      <c r="R391" s="563"/>
    </row>
    <row r="392" spans="10:18" ht="11.25">
      <c r="J392" s="1589"/>
      <c r="L392" s="1547"/>
      <c r="M392" s="1535"/>
      <c r="N392" s="1535"/>
      <c r="O392" s="1547"/>
      <c r="P392" s="563"/>
      <c r="Q392" s="563"/>
      <c r="R392" s="563"/>
    </row>
    <row r="393" spans="10:18" ht="11.25">
      <c r="J393" s="1589"/>
      <c r="L393" s="1547"/>
      <c r="M393" s="1535"/>
      <c r="N393" s="1535"/>
      <c r="O393" s="1547"/>
      <c r="P393" s="563"/>
      <c r="Q393" s="563"/>
      <c r="R393" s="563"/>
    </row>
    <row r="394" spans="10:18" ht="11.25">
      <c r="J394" s="1589"/>
      <c r="L394" s="1547"/>
      <c r="M394" s="1535"/>
      <c r="N394" s="1535"/>
      <c r="O394" s="1547"/>
      <c r="P394" s="563"/>
      <c r="Q394" s="563"/>
      <c r="R394" s="563"/>
    </row>
    <row r="395" spans="12:18" ht="11.25">
      <c r="L395" s="1547"/>
      <c r="M395" s="1535"/>
      <c r="N395" s="1535"/>
      <c r="O395" s="1547"/>
      <c r="P395" s="563"/>
      <c r="Q395" s="563"/>
      <c r="R395" s="563"/>
    </row>
    <row r="396" spans="12:18" ht="11.25">
      <c r="L396" s="1547"/>
      <c r="M396" s="1535"/>
      <c r="N396" s="1535"/>
      <c r="O396" s="1547"/>
      <c r="P396" s="563"/>
      <c r="Q396" s="563"/>
      <c r="R396" s="563"/>
    </row>
    <row r="397" spans="12:18" ht="11.25">
      <c r="L397" s="1547"/>
      <c r="M397" s="1535"/>
      <c r="N397" s="1535"/>
      <c r="O397" s="1547"/>
      <c r="P397" s="563"/>
      <c r="Q397" s="563"/>
      <c r="R397" s="563"/>
    </row>
    <row r="398" spans="12:18" ht="11.25">
      <c r="L398" s="1547"/>
      <c r="M398" s="1535"/>
      <c r="N398" s="1535"/>
      <c r="O398" s="1547"/>
      <c r="P398" s="563"/>
      <c r="Q398" s="563"/>
      <c r="R398" s="563"/>
    </row>
    <row r="399" spans="12:18" ht="11.25">
      <c r="L399" s="1547"/>
      <c r="M399" s="1535"/>
      <c r="N399" s="1535"/>
      <c r="O399" s="1547"/>
      <c r="P399" s="563"/>
      <c r="Q399" s="563"/>
      <c r="R399" s="563"/>
    </row>
    <row r="400" spans="12:18" ht="11.25">
      <c r="L400" s="1547"/>
      <c r="M400" s="1535"/>
      <c r="N400" s="1535"/>
      <c r="O400" s="1547"/>
      <c r="P400" s="563"/>
      <c r="Q400" s="563"/>
      <c r="R400" s="563"/>
    </row>
    <row r="401" spans="12:18" ht="11.25">
      <c r="L401" s="1547"/>
      <c r="M401" s="1535"/>
      <c r="N401" s="1535"/>
      <c r="O401" s="1547"/>
      <c r="P401" s="563"/>
      <c r="Q401" s="563"/>
      <c r="R401" s="563"/>
    </row>
    <row r="402" spans="12:18" ht="11.25">
      <c r="L402" s="1547"/>
      <c r="M402" s="1535"/>
      <c r="N402" s="1535"/>
      <c r="O402" s="1547"/>
      <c r="P402" s="563"/>
      <c r="Q402" s="563"/>
      <c r="R402" s="563"/>
    </row>
    <row r="403" spans="12:18" ht="11.25">
      <c r="L403" s="1547"/>
      <c r="M403" s="1535"/>
      <c r="N403" s="1535"/>
      <c r="O403" s="1547"/>
      <c r="P403" s="563"/>
      <c r="Q403" s="563"/>
      <c r="R403" s="563"/>
    </row>
    <row r="404" spans="12:18" ht="11.25">
      <c r="L404" s="1547"/>
      <c r="M404" s="1535"/>
      <c r="N404" s="1535"/>
      <c r="O404" s="1547"/>
      <c r="P404" s="563"/>
      <c r="Q404" s="563"/>
      <c r="R404" s="563"/>
    </row>
    <row r="405" spans="12:18" ht="11.25">
      <c r="L405" s="1547"/>
      <c r="M405" s="1535"/>
      <c r="N405" s="1535"/>
      <c r="O405" s="1547"/>
      <c r="P405" s="563"/>
      <c r="Q405" s="563"/>
      <c r="R405" s="563"/>
    </row>
    <row r="406" spans="12:18" ht="11.25">
      <c r="L406" s="1547"/>
      <c r="M406" s="1535"/>
      <c r="N406" s="1535"/>
      <c r="O406" s="1547"/>
      <c r="P406" s="563"/>
      <c r="Q406" s="563"/>
      <c r="R406" s="563"/>
    </row>
    <row r="407" spans="12:18" ht="11.25">
      <c r="L407" s="1547"/>
      <c r="M407" s="1535"/>
      <c r="N407" s="1535"/>
      <c r="O407" s="1547"/>
      <c r="P407" s="563"/>
      <c r="Q407" s="563"/>
      <c r="R407" s="563"/>
    </row>
    <row r="408" spans="12:18" ht="11.25">
      <c r="L408" s="1547"/>
      <c r="M408" s="1535"/>
      <c r="N408" s="1535"/>
      <c r="O408" s="1547"/>
      <c r="P408" s="563"/>
      <c r="Q408" s="563"/>
      <c r="R408" s="563"/>
    </row>
    <row r="409" spans="12:18" ht="11.25">
      <c r="L409" s="1547"/>
      <c r="M409" s="1535"/>
      <c r="N409" s="1535"/>
      <c r="O409" s="1547"/>
      <c r="P409" s="563"/>
      <c r="Q409" s="563"/>
      <c r="R409" s="563"/>
    </row>
    <row r="410" spans="12:18" ht="11.25">
      <c r="L410" s="1547"/>
      <c r="M410" s="1535"/>
      <c r="N410" s="1535"/>
      <c r="O410" s="1547"/>
      <c r="P410" s="563"/>
      <c r="Q410" s="563"/>
      <c r="R410" s="563"/>
    </row>
    <row r="411" spans="12:18" ht="11.25">
      <c r="L411" s="1547"/>
      <c r="M411" s="1535"/>
      <c r="N411" s="1535"/>
      <c r="O411" s="1547"/>
      <c r="P411" s="563"/>
      <c r="Q411" s="563"/>
      <c r="R411" s="563"/>
    </row>
    <row r="412" spans="12:18" ht="11.25">
      <c r="L412" s="1547"/>
      <c r="M412" s="1535"/>
      <c r="N412" s="1535"/>
      <c r="O412" s="1547"/>
      <c r="P412" s="563"/>
      <c r="Q412" s="563"/>
      <c r="R412" s="563"/>
    </row>
    <row r="413" spans="12:18" ht="11.25">
      <c r="L413" s="1547"/>
      <c r="M413" s="1535"/>
      <c r="N413" s="1535"/>
      <c r="O413" s="1547"/>
      <c r="P413" s="563"/>
      <c r="Q413" s="563"/>
      <c r="R413" s="563"/>
    </row>
    <row r="414" spans="12:18" ht="11.25">
      <c r="L414" s="1547"/>
      <c r="M414" s="1535"/>
      <c r="N414" s="1535"/>
      <c r="O414" s="1547"/>
      <c r="P414" s="563"/>
      <c r="Q414" s="563"/>
      <c r="R414" s="563"/>
    </row>
    <row r="415" spans="12:18" ht="11.25">
      <c r="L415" s="1547"/>
      <c r="M415" s="1535"/>
      <c r="N415" s="1535"/>
      <c r="O415" s="1547"/>
      <c r="P415" s="563"/>
      <c r="Q415" s="563"/>
      <c r="R415" s="563"/>
    </row>
    <row r="416" spans="12:18" ht="11.25">
      <c r="L416" s="1547"/>
      <c r="M416" s="1535"/>
      <c r="N416" s="1535"/>
      <c r="O416" s="1547"/>
      <c r="P416" s="563"/>
      <c r="Q416" s="563"/>
      <c r="R416" s="563"/>
    </row>
    <row r="417" spans="12:18" ht="11.25">
      <c r="L417" s="1547"/>
      <c r="M417" s="1535"/>
      <c r="N417" s="1535"/>
      <c r="O417" s="1547"/>
      <c r="P417" s="563"/>
      <c r="Q417" s="563"/>
      <c r="R417" s="563"/>
    </row>
    <row r="418" spans="12:18" ht="11.25">
      <c r="L418" s="1547"/>
      <c r="M418" s="1535"/>
      <c r="N418" s="1535"/>
      <c r="O418" s="1547"/>
      <c r="P418" s="563"/>
      <c r="Q418" s="563"/>
      <c r="R418" s="563"/>
    </row>
    <row r="419" spans="12:18" ht="11.25">
      <c r="L419" s="1547"/>
      <c r="M419" s="1535"/>
      <c r="N419" s="1535"/>
      <c r="O419" s="1547"/>
      <c r="P419" s="563"/>
      <c r="Q419" s="563"/>
      <c r="R419" s="563"/>
    </row>
    <row r="420" spans="12:18" ht="11.25">
      <c r="L420" s="1547"/>
      <c r="M420" s="1535"/>
      <c r="N420" s="1535"/>
      <c r="O420" s="1547"/>
      <c r="P420" s="563"/>
      <c r="Q420" s="563"/>
      <c r="R420" s="563"/>
    </row>
    <row r="421" spans="12:18" ht="11.25">
      <c r="L421" s="1547"/>
      <c r="M421" s="1535"/>
      <c r="N421" s="1535"/>
      <c r="O421" s="1547"/>
      <c r="P421" s="563"/>
      <c r="Q421" s="563"/>
      <c r="R421" s="563"/>
    </row>
    <row r="422" spans="12:18" ht="11.25">
      <c r="L422" s="1547"/>
      <c r="M422" s="1535"/>
      <c r="N422" s="1535"/>
      <c r="O422" s="1547"/>
      <c r="P422" s="563"/>
      <c r="Q422" s="563"/>
      <c r="R422" s="563"/>
    </row>
    <row r="423" spans="12:18" ht="11.25">
      <c r="L423" s="1547"/>
      <c r="M423" s="1535"/>
      <c r="N423" s="1535"/>
      <c r="O423" s="1547"/>
      <c r="P423" s="563"/>
      <c r="Q423" s="563"/>
      <c r="R423" s="563"/>
    </row>
    <row r="424" spans="12:18" ht="11.25">
      <c r="L424" s="1547"/>
      <c r="M424" s="1535"/>
      <c r="N424" s="1535"/>
      <c r="O424" s="1547"/>
      <c r="P424" s="563"/>
      <c r="Q424" s="563"/>
      <c r="R424" s="563"/>
    </row>
    <row r="425" spans="12:18" ht="11.25">
      <c r="L425" s="1547"/>
      <c r="M425" s="1535"/>
      <c r="N425" s="1535"/>
      <c r="O425" s="1547"/>
      <c r="P425" s="563"/>
      <c r="Q425" s="563"/>
      <c r="R425" s="563"/>
    </row>
    <row r="426" spans="12:18" ht="11.25">
      <c r="L426" s="1547"/>
      <c r="M426" s="1535"/>
      <c r="N426" s="1535"/>
      <c r="O426" s="1547"/>
      <c r="P426" s="563"/>
      <c r="Q426" s="563"/>
      <c r="R426" s="563"/>
    </row>
    <row r="427" spans="12:18" ht="11.25">
      <c r="L427" s="1547"/>
      <c r="M427" s="1535"/>
      <c r="N427" s="1535"/>
      <c r="O427" s="1547"/>
      <c r="P427" s="563"/>
      <c r="Q427" s="563"/>
      <c r="R427" s="563"/>
    </row>
    <row r="428" spans="12:18" ht="11.25">
      <c r="L428" s="1547"/>
      <c r="M428" s="1535"/>
      <c r="N428" s="1535"/>
      <c r="O428" s="1547"/>
      <c r="P428" s="563"/>
      <c r="Q428" s="563"/>
      <c r="R428" s="563"/>
    </row>
    <row r="429" spans="12:18" ht="11.25">
      <c r="L429" s="1547"/>
      <c r="M429" s="1535"/>
      <c r="N429" s="1535"/>
      <c r="O429" s="1547"/>
      <c r="P429" s="563"/>
      <c r="Q429" s="563"/>
      <c r="R429" s="563"/>
    </row>
    <row r="430" spans="12:18" ht="11.25">
      <c r="L430" s="1547"/>
      <c r="M430" s="1535"/>
      <c r="N430" s="1535"/>
      <c r="O430" s="1547"/>
      <c r="P430" s="563"/>
      <c r="Q430" s="563"/>
      <c r="R430" s="563"/>
    </row>
    <row r="431" spans="12:18" ht="11.25">
      <c r="L431" s="1547"/>
      <c r="M431" s="1535"/>
      <c r="N431" s="1535"/>
      <c r="O431" s="1547"/>
      <c r="P431" s="563"/>
      <c r="Q431" s="563"/>
      <c r="R431" s="563"/>
    </row>
    <row r="432" spans="12:18" ht="11.25">
      <c r="L432" s="1547"/>
      <c r="M432" s="1535"/>
      <c r="N432" s="1535"/>
      <c r="O432" s="1547"/>
      <c r="P432" s="563"/>
      <c r="Q432" s="563"/>
      <c r="R432" s="563"/>
    </row>
    <row r="433" spans="12:18" ht="11.25">
      <c r="L433" s="1547"/>
      <c r="M433" s="1535"/>
      <c r="N433" s="1535"/>
      <c r="O433" s="1547"/>
      <c r="P433" s="563"/>
      <c r="Q433" s="563"/>
      <c r="R433" s="563"/>
    </row>
    <row r="434" spans="12:18" ht="11.25">
      <c r="L434" s="1547"/>
      <c r="M434" s="1535"/>
      <c r="N434" s="1535"/>
      <c r="O434" s="1547"/>
      <c r="P434" s="563"/>
      <c r="Q434" s="563"/>
      <c r="R434" s="563"/>
    </row>
    <row r="435" spans="12:18" ht="11.25">
      <c r="L435" s="1547"/>
      <c r="M435" s="1535"/>
      <c r="N435" s="1535"/>
      <c r="O435" s="1547"/>
      <c r="P435" s="563"/>
      <c r="Q435" s="563"/>
      <c r="R435" s="563"/>
    </row>
    <row r="436" spans="12:18" ht="11.25">
      <c r="L436" s="1547"/>
      <c r="M436" s="1535"/>
      <c r="N436" s="1535"/>
      <c r="O436" s="1547"/>
      <c r="P436" s="563"/>
      <c r="Q436" s="563"/>
      <c r="R436" s="563"/>
    </row>
    <row r="437" spans="12:18" ht="11.25">
      <c r="L437" s="1547"/>
      <c r="M437" s="1535"/>
      <c r="N437" s="1535"/>
      <c r="O437" s="1547"/>
      <c r="P437" s="563"/>
      <c r="Q437" s="563"/>
      <c r="R437" s="563"/>
    </row>
    <row r="438" spans="12:18" ht="11.25">
      <c r="L438" s="1547"/>
      <c r="M438" s="1535"/>
      <c r="N438" s="1535"/>
      <c r="O438" s="1547"/>
      <c r="P438" s="563"/>
      <c r="Q438" s="563"/>
      <c r="R438" s="563"/>
    </row>
  </sheetData>
  <sheetProtection/>
  <printOptions horizontalCentered="1"/>
  <pageMargins left="0" right="0" top="1.1811023622047245" bottom="0.984251968503937" header="0.5118110236220472" footer="0.5118110236220472"/>
  <pageSetup firstPageNumber="1" useFirstPageNumber="1" horizontalDpi="600" verticalDpi="600" orientation="landscape" paperSize="9" scale="85" r:id="rId4"/>
  <headerFooter alignWithMargins="0">
    <oddFooter>&amp;C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 Kartov</dc:creator>
  <cp:keywords/>
  <dc:description/>
  <cp:lastModifiedBy>Irina Jürgens</cp:lastModifiedBy>
  <dcterms:created xsi:type="dcterms:W3CDTF">2011-10-17T09:37:06Z</dcterms:created>
  <dcterms:modified xsi:type="dcterms:W3CDTF">2011-11-30T11:53:05Z</dcterms:modified>
  <cp:category/>
  <cp:version/>
  <cp:contentType/>
  <cp:contentStatus/>
</cp:coreProperties>
</file>